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2"/>
  </bookViews>
  <sheets>
    <sheet name="Lettera Oneri" sheetId="1" r:id="rId1"/>
    <sheet name="Istruz Cos Cos" sheetId="2" r:id="rId2"/>
    <sheet name="Calcolo Costo Costr. UNITA' 1" sheetId="3" r:id="rId3"/>
    <sheet name="Calcolo Costo Costr. UNITA' 2" sheetId="4" r:id="rId4"/>
    <sheet name="Calcolo Costo Costr. UNITA' 3" sheetId="5" r:id="rId5"/>
    <sheet name="Calcolo Sanzione art 206 BIS" sheetId="6" r:id="rId6"/>
    <sheet name="Modulo1" sheetId="7" state="hidden" r:id="rId7"/>
    <sheet name="Modulo2" sheetId="8" state="hidden" r:id="rId8"/>
  </sheets>
  <definedNames/>
  <calcPr fullCalcOnLoad="1"/>
</workbook>
</file>

<file path=xl/sharedStrings.xml><?xml version="1.0" encoding="utf-8"?>
<sst xmlns="http://schemas.openxmlformats.org/spreadsheetml/2006/main" count="708" uniqueCount="370">
  <si>
    <t>Proprietario/i/Ditta:</t>
  </si>
  <si>
    <t>N° Pratica:</t>
  </si>
  <si>
    <t xml:space="preserve"> CALCOLO DEL CONTRIBUTO EX L.R.T. 10.11.2014 N.65 - TITOLO VII</t>
  </si>
  <si>
    <t>a)</t>
  </si>
  <si>
    <t>Tipo Insediamento</t>
  </si>
  <si>
    <t xml:space="preserve"> (mc/mq)</t>
  </si>
  <si>
    <t>Tar. Urb. I^</t>
  </si>
  <si>
    <t>Tar. Urb. II^</t>
  </si>
  <si>
    <t>Urb. Prim.</t>
  </si>
  <si>
    <t>Urb. Sec.</t>
  </si>
  <si>
    <t>Totali</t>
  </si>
  <si>
    <t xml:space="preserve">Totale oneri Euro    </t>
  </si>
  <si>
    <t>b)</t>
  </si>
  <si>
    <t xml:space="preserve">Percentuale del contributo del costo di costruzione </t>
  </si>
  <si>
    <t>Riduz.</t>
  </si>
  <si>
    <t>Euro</t>
  </si>
  <si>
    <t xml:space="preserve">Totale costo costruzione Euro     </t>
  </si>
  <si>
    <t xml:space="preserve">TOTALE CONTRIBUTO [a) + b)]   Euro   </t>
  </si>
  <si>
    <t>SANZIONE - ART. 206 EX L.R.T. 10.11.2014 N.65:</t>
  </si>
  <si>
    <t xml:space="preserve">Opere eseguite in parziale difformità dalla concessione, sanzione pari al doppio dell'aumento del valore venale dell'immobile conseguente alla realizzazione delle opere.  </t>
  </si>
  <si>
    <t>Aumento Valore Venale Immobile</t>
  </si>
  <si>
    <t>x 2</t>
  </si>
  <si>
    <t xml:space="preserve">OBLAZIONE - ART. 209 COMMA 5 L.R.T. 10.11.2014 N.65: </t>
  </si>
  <si>
    <t>Sanatoria del permesso edilizio ovvero dell'attestazione di conformità per gli interventi di cui all'art. 209,comma 5, L.R.T. 65/2014 (interventi penalmente rilevanti)</t>
  </si>
  <si>
    <t xml:space="preserve">SANZIONE - ART. 209 COMMA6 L.R.T. 10.11.2014 N.65: </t>
  </si>
  <si>
    <t>Sanatoria dell'attestazione di conformità per gli interventi di cui all'art. 209, comma 6, L.R.T. 65/2014</t>
  </si>
  <si>
    <t>SANZIONE ART. 167 EX LEGGE 22.01.2004 N.42:</t>
  </si>
  <si>
    <t>Aumento in Euro del valore venale dell'immobile conseguente alla realizzazione delle opere</t>
  </si>
  <si>
    <t>3% dell'aumento di valore o minimo di legge</t>
  </si>
  <si>
    <t xml:space="preserve">SANZIONE - ART. 34 COMMA 1 L,10/91: </t>
  </si>
  <si>
    <t>Per sanatoria obblighi di cui art. 34 L.10/91</t>
  </si>
  <si>
    <t xml:space="preserve">SANZIONE - ART. 15 COMMA 1 D.M. 37/2008: </t>
  </si>
  <si>
    <t>Per sanatoria obblighi di cui art. 7 D.M. 37/2008</t>
  </si>
  <si>
    <t xml:space="preserve">SANZIONE - ART. 149 COMMA 3 bis LRT.65/2014: </t>
  </si>
  <si>
    <t>Per ritardata presentazione attestazione asseverata agibilità</t>
  </si>
  <si>
    <t>TOTALE OBLAZIONE E/O SANZIONE</t>
  </si>
  <si>
    <t>A DETRARRE EVENTUALE ACCONTO VERSATO</t>
  </si>
  <si>
    <t>IMPORTO TOTALE DA PAGARE</t>
  </si>
  <si>
    <t>Tale somma può essere rateizzata secondo le modalità seguenti:</t>
  </si>
  <si>
    <t xml:space="preserve">Euro  </t>
  </si>
  <si>
    <t xml:space="preserve">   Calcolo Costo di Costruzione</t>
  </si>
  <si>
    <t>Da compilare per ogni singola u.i.</t>
  </si>
  <si>
    <t>1 Parte obbligatoria per determinare la maggiorazione relativa alle caratteristiche dell'appartamento</t>
  </si>
  <si>
    <t>Superficie dell'Alloggio</t>
  </si>
  <si>
    <t>classi di superf. (mq)</t>
  </si>
  <si>
    <t>alloggi (n)</t>
  </si>
  <si>
    <t>Sup. utile abit. (mq)</t>
  </si>
  <si>
    <t>rapporto rispetto al totale Su</t>
  </si>
  <si>
    <t>incremento (art. 5)</t>
  </si>
  <si>
    <t>% increm. per classi di superf.</t>
  </si>
  <si>
    <t>(1)</t>
  </si>
  <si>
    <t>(2)</t>
  </si>
  <si>
    <t>(3)</t>
  </si>
  <si>
    <t>(4) = (3)/Su</t>
  </si>
  <si>
    <t>(5)</t>
  </si>
  <si>
    <t>(6)=(4)x(5)</t>
  </si>
  <si>
    <t>&lt;95</t>
  </si>
  <si>
    <t>&gt;  95--110</t>
  </si>
  <si>
    <t>&gt;110--130</t>
  </si>
  <si>
    <t>&gt;130--160</t>
  </si>
  <si>
    <t>&gt;160</t>
  </si>
  <si>
    <t>Su</t>
  </si>
  <si>
    <t>somma (I1)</t>
  </si>
  <si>
    <t>Tabella 2 - Superfici per servizi e accessori relativi alla parte res. (Sup.e Intero alloggio)</t>
  </si>
  <si>
    <t>DESTINAZIONI</t>
  </si>
  <si>
    <t>Superifcie netta di servizi e accessori (mq)</t>
  </si>
  <si>
    <t xml:space="preserve">Tabella 3 - Incremento per servizi ed accessori relativi alla parte residenziale </t>
  </si>
  <si>
    <t>(7)</t>
  </si>
  <si>
    <t>(8)</t>
  </si>
  <si>
    <t>Cantinole, soffitte, locali motore ascensore, cabine idriche, lavatoi comuni, centrali termiche, ed altri locali a stretto servizio delle residenze</t>
  </si>
  <si>
    <t>Intervalli di variabilità del rapporto percentuale Snr/Sux100</t>
  </si>
  <si>
    <t>ipotesi che ricorre</t>
  </si>
  <si>
    <t>% incremento</t>
  </si>
  <si>
    <t>Autorimesse                                               O singole    O collettive</t>
  </si>
  <si>
    <t>(9)</t>
  </si>
  <si>
    <t>(10)</t>
  </si>
  <si>
    <t>(11)</t>
  </si>
  <si>
    <t>androni d'ingresso e porticati liberi</t>
  </si>
  <si>
    <t>&lt; 50</t>
  </si>
  <si>
    <t>logge e balconi</t>
  </si>
  <si>
    <t>&gt;50--75</t>
  </si>
  <si>
    <t>Snr</t>
  </si>
  <si>
    <t>Snr/Sux100=</t>
  </si>
  <si>
    <t>&gt;75--100</t>
  </si>
  <si>
    <t>&gt;100</t>
  </si>
  <si>
    <t>(I2)</t>
  </si>
  <si>
    <t>2 Parte Da riempire con le superfici oggetto d'intervento</t>
  </si>
  <si>
    <t>Da inserire superficie oggetto di intervento (default tutto l'edificio)</t>
  </si>
  <si>
    <t>SUPERFICI RESIDENZIALI E RELATIVI SERVIZI ED ACCESSORI</t>
  </si>
  <si>
    <t>Tabella 4 - Incremento per particolari caratteristiche (vedi note esplicative sotto al termine della tabella)</t>
  </si>
  <si>
    <t>sigla</t>
  </si>
  <si>
    <t>denominazione</t>
  </si>
  <si>
    <t>superficie (mq)</t>
  </si>
  <si>
    <t>N. di caratterist.</t>
  </si>
  <si>
    <t>(17)</t>
  </si>
  <si>
    <t>(18)</t>
  </si>
  <si>
    <t>(19)</t>
  </si>
  <si>
    <t>(12)</t>
  </si>
  <si>
    <t>(13)</t>
  </si>
  <si>
    <t>(14)</t>
  </si>
  <si>
    <t>Su (art.3)</t>
  </si>
  <si>
    <t>Sup. utile abitabile</t>
  </si>
  <si>
    <t>Snr (art.2)</t>
  </si>
  <si>
    <t>Sup. netta non resid.</t>
  </si>
  <si>
    <t>60% Snr</t>
  </si>
  <si>
    <t>Sup. ragguagliata</t>
  </si>
  <si>
    <t>4 = 1+3</t>
  </si>
  <si>
    <t>Sc (art.2)</t>
  </si>
  <si>
    <t>Sup. complessiva</t>
  </si>
  <si>
    <t>Da inserire superfici oggetto di intervento (comm.li, dir. Turistiche)</t>
  </si>
  <si>
    <t>SUPERFICI COMMER. DIR. TUR. E RELATIVI SERVIZI ED ACCESSORI -Solo se inf. 25% Totale edificio-</t>
  </si>
  <si>
    <t>(I3)</t>
  </si>
  <si>
    <t>totale incrementi I =I1+I2+I3</t>
  </si>
  <si>
    <t>Sn (art.9)</t>
  </si>
  <si>
    <t>Sa (art.9)</t>
  </si>
  <si>
    <t>60% Sa</t>
  </si>
  <si>
    <t>St (art.2)</t>
  </si>
  <si>
    <t>classe edificio</t>
  </si>
  <si>
    <t>maggiorazione</t>
  </si>
  <si>
    <t>(15)</t>
  </si>
  <si>
    <t>(16)</t>
  </si>
  <si>
    <t>A -</t>
  </si>
  <si>
    <t>B -</t>
  </si>
  <si>
    <t>Costo al mq. di costruzione maggiorato (= A x 1 + M/100)</t>
  </si>
  <si>
    <t>C -</t>
  </si>
  <si>
    <t>Costo di costruzione dell'edifcio (Sc x B)</t>
  </si>
  <si>
    <t>CALCOLO COSTO DI COSTRUZIONE</t>
  </si>
  <si>
    <t>IMMOBILE DI LUSSO (Digitare SI o NO nella casella a fianco</t>
  </si>
  <si>
    <t>Vedi caratteristiche sul foglio "Istruzioni Costo di Costruzione"</t>
  </si>
  <si>
    <t>Aliquota applicata</t>
  </si>
  <si>
    <t>Calcolo automatico</t>
  </si>
  <si>
    <t>Costo di costruzione dell'edificio</t>
  </si>
  <si>
    <t>COSTO DI COSTRUZIONE</t>
  </si>
  <si>
    <t>.e/o la somma superfici interessate dall'intervento;</t>
  </si>
  <si>
    <t>per categorie nelle righe corrispondenti;</t>
  </si>
  <si>
    <t xml:space="preserve"> Barrare con "X" la casella interessata (Per ciascuna delle caratteristiche appresso riportate</t>
  </si>
  <si>
    <t xml:space="preserve"> l'incremento è pari al 10 per cento) :</t>
  </si>
  <si>
    <t>1)  Più di un ascensore per ogni scala se questa serve meno di sei piani sopraelevati;</t>
  </si>
  <si>
    <t>2)  Scala di servizio non prescritta da leggi o regolamenti o imposta da necessità di prevenzione</t>
  </si>
  <si>
    <t xml:space="preserve">     di infortuni o di incendi;</t>
  </si>
  <si>
    <t>3)  Altezza libera netta di piano superiore a m 2,70. Per ambienti con altezze diverse si deve</t>
  </si>
  <si>
    <t xml:space="preserve">     fare riferimento all'altezza media ponderale;</t>
  </si>
  <si>
    <t>4)  Piscina coperta o scoperta quando sia a servizio di uno o più edifici comprendenti meno</t>
  </si>
  <si>
    <t xml:space="preserve">     di 15 unità immobiliari;</t>
  </si>
  <si>
    <t>5)  Alloggi di custodia a servizio di uno o più edifici comprendenti meno di 15 unità immobiliari.</t>
  </si>
  <si>
    <t>Fornisce Spiegazioni sulle modalità da adottare; se non c'è scritto niente saltare.</t>
  </si>
  <si>
    <t>Da riportare nella pagina principale</t>
  </si>
  <si>
    <t>COSTO DI COSTRUZIONE
Istruzioni Compilazione</t>
  </si>
  <si>
    <t>EDIFICI RESIDENZIALI</t>
  </si>
  <si>
    <t>Euro/mq</t>
  </si>
  <si>
    <t>TAB1:</t>
  </si>
  <si>
    <t xml:space="preserve"> INSEDIAMENTI RESIDENZIALI</t>
  </si>
  <si>
    <r>
      <rPr>
        <sz val="10"/>
        <rFont val="Tahoma"/>
        <family val="2"/>
      </rPr>
      <t xml:space="preserve">Percentuale del contributo
del costo di costruzione                                     </t>
    </r>
    <r>
      <rPr>
        <sz val="8"/>
        <rFont val="Tahoma"/>
        <family val="2"/>
      </rPr>
      <t xml:space="preserve"> (Tabella D allegata alla L.R.T. 01/2005)</t>
    </r>
  </si>
  <si>
    <t>1)
Abitazioni aventi superficie utile:</t>
  </si>
  <si>
    <t xml:space="preserve"> a) superiore a mq 160 e accessori inferiori a mq 60</t>
  </si>
  <si>
    <t>Qualora la superficie degli accessori superi quella indicata a fianco di ciascuna categoria la percentuale da applicare è quella della categoria immediatamente superiore</t>
  </si>
  <si>
    <t xml:space="preserve"> b) compreso tra mq 160 e mq 130 e accessori inferiori  a mq 55</t>
  </si>
  <si>
    <t xml:space="preserve"> c) compreso tra 130 mq e 110 e accessori inferiori a 45 mq</t>
  </si>
  <si>
    <t xml:space="preserve"> d) compreso tra mq 110 e mq 95 e accessori inferiori a mq 45</t>
  </si>
  <si>
    <t xml:space="preserve"> e) inferiore a mq 95 e accessori inferiori a mq 40</t>
  </si>
  <si>
    <r>
      <rPr>
        <sz val="9"/>
        <rFont val="Tahoma"/>
        <family val="2"/>
      </rPr>
      <t xml:space="preserve"> 2) Abitazioni aventi caratteristiche di lusso (D.M. 02/08/1969)</t>
    </r>
    <r>
      <rPr>
        <b/>
        <sz val="9"/>
        <rFont val="Tahoma"/>
        <family val="2"/>
      </rPr>
      <t xml:space="preserve"> (VEDI SOTTO)</t>
    </r>
  </si>
  <si>
    <t>Le percentuali di applicazione indicate nella tabella 1) sono ridotte di 1 punto nei seguenti casi:</t>
  </si>
  <si>
    <t>a) per gli edifici che vengono dotati, ai fini del riscaldamento invernale e/o del condizionamento estivo, di sistemi
    costruttivi ed impianti che utilizzano l'energia solare;</t>
  </si>
  <si>
    <t>b) per gli edifici da realizzare con struttura portante in muratura di pietrame e/o laterizio;</t>
  </si>
  <si>
    <t>c) per gli interventi di bioedilizia;</t>
  </si>
  <si>
    <t>Gli interventi per l'installazione di impianti relativi alle energie rinnovabili ed alla conservazione ed al risparmio energetico sono assimilabili a manutenzione straordinaria</t>
  </si>
  <si>
    <t>TAB 2:</t>
  </si>
  <si>
    <t xml:space="preserve"> INSEDIAMENTI ARTIGIANALI O INDUSTRIALI </t>
  </si>
  <si>
    <t>Esente</t>
  </si>
  <si>
    <t>TAB 3:</t>
  </si>
  <si>
    <t>Percentuale del costo  di costruzione stabilito mediante perizia giurata</t>
  </si>
  <si>
    <t>Qualora la destinazione d'uso delle opere indicate nelle tabelle 2) e 3), nonché di quelle delle zone agricole previste dall'art. 124, comma 1, lett. a) della L.R.T. 01/2005, venga comunque modicata nei dieci anni successivi all'ultimazione dei lavori, il contributo è dovuto nella misura massima corrispondente alla nuova destinazione, determinata con riferimento al momento della intervenuta variazione.</t>
  </si>
  <si>
    <t>D.M. 02/08/1969</t>
  </si>
  <si>
    <t>Caratteristiche delle abitazioni di lusso</t>
  </si>
  <si>
    <t>Articolo 1.</t>
  </si>
  <si>
    <t>Le abitazioni realizzate su aree destinate dagli strumenti urbanistici, adottati o</t>
  </si>
  <si>
    <t>approvati, a &lt;ville&gt;, &lt;parco privato&gt; ovvero a costruzioni qualificate dai predetti strumenti</t>
  </si>
  <si>
    <t>come &lt;di lusso&gt;.</t>
  </si>
  <si>
    <t>Articolo 2.</t>
  </si>
  <si>
    <t>Le abitazioni realizzate su aree per le quali gli strumenti urbanistici adottati o</t>
  </si>
  <si>
    <t>approvati, prevedono una destinazione con tipologia edilizia di case unifamiliari e con la</t>
  </si>
  <si>
    <t>specifica prescrizione di lotti non inferiori a 3.000 mq. escluse le zone agricole, anche se in</t>
  </si>
  <si>
    <t>esse siano consentite costruzioni residenziali.</t>
  </si>
  <si>
    <t>Articolo 3.</t>
  </si>
  <si>
    <t>Le abitazioni facenti parte di fabbricati che abbiano cubatura superiore a 2.000 mc e</t>
  </si>
  <si>
    <t>siano realizzati su lotti nei quali la cubatura edificata risulti inferiore a 25 mc. v.p.p. per</t>
  </si>
  <si>
    <t>ogni 100 mq. di superficie asservita ai fabbricati.</t>
  </si>
  <si>
    <t>Articolo 4.</t>
  </si>
  <si>
    <t>Le abitazioni unifamiliari dotate di piscina di almeno 80 mq. di superficie o campi da</t>
  </si>
  <si>
    <t>tennis con sottofondo drenato di superficie non inferiore a 650 mq.</t>
  </si>
  <si>
    <t>Articolo 5.</t>
  </si>
  <si>
    <t>Le case composte di uno o più vani costituenti unico alloggio padronale aventi</t>
  </si>
  <si>
    <t>superficie utile complessiva superiore a mq. 200 (esclusi i balconi, le terrazze, le cantine,</t>
  </si>
  <si>
    <t>le soffitte, le scale e posto macchine) ed aventi come pertinenza un'area scoperta della</t>
  </si>
  <si>
    <t>superficie di oltre sei volte l'area coperta.</t>
  </si>
  <si>
    <t>Articolo 6.</t>
  </si>
  <si>
    <t>Le singole unità immobiliari aventi superficie utile complessiva superiore a mq. 240</t>
  </si>
  <si>
    <t>(esclusi i balconi, le terrazze, le cantine, le soffitte, le scale e posto macchine).</t>
  </si>
  <si>
    <t>Articolo 7.</t>
  </si>
  <si>
    <t>Le abitazioni facenti parte di fabbricati o costituenti fabbricati insistenti su aree</t>
  </si>
  <si>
    <t>comunque destinate all'edilizia residenziale, quando il costo del terreno coperto e di</t>
  </si>
  <si>
    <t>pertinenza supera di una volta e mezzo il costo della sola costruzione.</t>
  </si>
  <si>
    <t>Articolo 8.</t>
  </si>
  <si>
    <t>Le case e le singole unità immobiliari che abbiano oltre quattro caratteristiche tra</t>
  </si>
  <si>
    <t>quelle della tabella allegata al presente decreto.</t>
  </si>
  <si>
    <t>Articolo 9.</t>
  </si>
  <si>
    <t>Le norme di cui al presente decreto entrano in vigore il primo giorno del mese</t>
  </si>
  <si>
    <t>successivo a quello della pubblicazione nella Gazzetta Ufficiale.</t>
  </si>
  <si>
    <t>Articolo 10.</t>
  </si>
  <si>
    <t>Alle abitazioni costruite in base a licenza di costruzione rilasciata in data anteriore a</t>
  </si>
  <si>
    <t>quella dell'entrata in vigore del presente decreto si applicano le disposizioni di cui al Dm</t>
  </si>
  <si>
    <t>4/12/1961.</t>
  </si>
  <si>
    <t>Tabella delle caratteristiche</t>
  </si>
  <si>
    <t>a) Superficie dell'appartamento: superficie utile complessiva superiore a mq. 160, esclusi</t>
  </si>
  <si>
    <t>dal computo terrazze e balconi, cantine, soffitte, scale e posto macchine.</t>
  </si>
  <si>
    <t>b) Terrazze a livello coperte e scoperte e balconi: quando la loro superficie utile</t>
  </si>
  <si>
    <t>complessiva supera mq. 65 a servizio di una singola unità immobiliare urbana.</t>
  </si>
  <si>
    <t>c) Ascensori: quando vi sia più di un ascensore per ogni scala, ogni ascensore in più conta</t>
  </si>
  <si>
    <t>per una caratteristica se la scala serve meno di sette piani sopraelevati.</t>
  </si>
  <si>
    <t>d) Scala di servizio: quando non sia prescritta da leggi, regolamenti o imposta da</t>
  </si>
  <si>
    <t>necessità di prevenzione di infortuni od incendi.</t>
  </si>
  <si>
    <t>e) Montacarichi o ascensore di servizio: quando sono a servizio di meno di quattro piani.</t>
  </si>
  <si>
    <t>f) Scala principale: a) con pareti rivestite di materiali pregiati per un'altezza superiore a cm</t>
  </si>
  <si>
    <t>170 di media; b) con pareti rivestite di materiali lavorati in modo pregiato.</t>
  </si>
  <si>
    <t>g) Altezza libera netta del piano: superiore a m. 3,30 salvo che regolamenti edilizi</t>
  </si>
  <si>
    <t>prevedano altezze minime superiori.</t>
  </si>
  <si>
    <t>h) Porte di ingresso agli appartamenti da scala interna: a) in legno pregiato o massello e</t>
  </si>
  <si>
    <t>lastronato; b) di legno intagliato, scolpito o intarsiato; c) con decorazioni pregiate</t>
  </si>
  <si>
    <t>sovrapposte od impresse.</t>
  </si>
  <si>
    <t>i) Infissi interni: come alle lettere a), b), c) della caratteristica h) anche se tamburati</t>
  </si>
  <si>
    <t>qualora la loro superficie complessiva superi il 50 per cento della superficie totale.</t>
  </si>
  <si>
    <t>l) Pavimenti: eseguiti per una superficie complessiva superiore al 50% della superficie utile</t>
  </si>
  <si>
    <t>totale dell'appartamento: a) in materiale pregiato; b) con materiali lavorati in modo</t>
  </si>
  <si>
    <t>pregiato.</t>
  </si>
  <si>
    <t>m) Pareti: quando per oltre il 30% della loro superficie complessiva siano: a) eseguite con</t>
  </si>
  <si>
    <t>materiali e lavori pregiati; b) rivestite di stoffe od altri materiali pregiati.</t>
  </si>
  <si>
    <t>n) Soffitti: se a cassettoni decorati oppure con stucchi tirati sul posto o dipinti a mano,</t>
  </si>
  <si>
    <t>escluse le piccole sagome di distacco fra pareti e soffitti.</t>
  </si>
  <si>
    <t>o) Piscina: coperta o scoperta, in muratura, quando sia a servizio di un edificio o di un</t>
  </si>
  <si>
    <t>complesso di edifici comprendenti meno di 15 unità immobiliari.</t>
  </si>
  <si>
    <t>p) Campo da tennis: quando sia a servizio di un edificio o di un complesso di edifici</t>
  </si>
  <si>
    <t>comprendenti meno di 15 unità immobiliari.</t>
  </si>
  <si>
    <t>CALCOLO SANZIONE PECUNARIA ai sensi dell'Art.206 bis L.R.64/2005 e smi</t>
  </si>
  <si>
    <t>INSERIRE VALORI NELLE CELLE COLORE</t>
  </si>
  <si>
    <t xml:space="preserve">   </t>
  </si>
  <si>
    <t xml:space="preserve">             </t>
  </si>
  <si>
    <t>ANNO DI COSTRUZIONE</t>
  </si>
  <si>
    <t>X</t>
  </si>
  <si>
    <t>ANNO DI STIMA</t>
  </si>
  <si>
    <t>Parametri Legge n.392/1978</t>
  </si>
  <si>
    <t>Determinazione della Superficie Convenzionale</t>
  </si>
  <si>
    <t>descrizione immobile</t>
  </si>
  <si>
    <t>Sup.Reale</t>
  </si>
  <si>
    <t>detr.</t>
  </si>
  <si>
    <t>30% vani con H&lt;1,70</t>
  </si>
  <si>
    <t>Sup. da consider.</t>
  </si>
  <si>
    <t>Coeff.</t>
  </si>
  <si>
    <t>Superf. Convenz.</t>
  </si>
  <si>
    <r>
      <rPr>
        <sz val="10"/>
        <color indexed="48"/>
        <rFont val="Arial"/>
        <family val="2"/>
      </rPr>
      <t>m</t>
    </r>
    <r>
      <rPr>
        <vertAlign val="superscript"/>
        <sz val="11"/>
        <color indexed="8"/>
        <rFont val="Calibri"/>
        <family val="2"/>
      </rPr>
      <t>2</t>
    </r>
  </si>
  <si>
    <r>
      <rPr>
        <sz val="10"/>
        <color indexed="48"/>
        <rFont val="Arial"/>
        <family val="2"/>
      </rPr>
      <t>Unità superiore a 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48"/>
        <rFont val="Arial"/>
        <family val="2"/>
      </rPr>
      <t xml:space="preserve"> 70</t>
    </r>
  </si>
  <si>
    <t>-</t>
  </si>
  <si>
    <t>=</t>
  </si>
  <si>
    <r>
      <rPr>
        <sz val="10"/>
        <color indexed="48"/>
        <rFont val="Arial"/>
        <family val="2"/>
      </rPr>
      <t>Unità tra 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48"/>
        <rFont val="Arial"/>
        <family val="2"/>
      </rPr>
      <t xml:space="preserve"> 46 e 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48"/>
        <rFont val="Arial"/>
        <family val="2"/>
      </rPr>
      <t xml:space="preserve"> 70</t>
    </r>
  </si>
  <si>
    <r>
      <rPr>
        <sz val="10"/>
        <color indexed="48"/>
        <rFont val="Arial"/>
        <family val="2"/>
      </rPr>
      <t>Unità inferiore a 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48"/>
        <rFont val="Arial"/>
        <family val="2"/>
      </rPr>
      <t xml:space="preserve"> 70</t>
    </r>
  </si>
  <si>
    <t>autorimesse singole</t>
  </si>
  <si>
    <t xml:space="preserve">Posto macchina in comune </t>
  </si>
  <si>
    <t>Balconi, terrazze, cantine ecc.</t>
  </si>
  <si>
    <t>Superficie Scoperta esclusiva</t>
  </si>
  <si>
    <t>Superf.a verde condominiale</t>
  </si>
  <si>
    <t>Totale Superficie Convenzionale</t>
  </si>
  <si>
    <t>(1) Tipologia Catastale</t>
  </si>
  <si>
    <r>
      <rPr>
        <b/>
        <sz val="11"/>
        <color indexed="8"/>
        <rFont val="Calibri"/>
        <family val="2"/>
      </rPr>
      <t>(6) Vetustà</t>
    </r>
    <r>
      <rPr>
        <b/>
        <sz val="9"/>
        <color indexed="8"/>
        <rFont val="Calibri"/>
        <family val="2"/>
      </rPr>
      <t xml:space="preserve"> (anni successivi a quello di costruzione)</t>
    </r>
  </si>
  <si>
    <t>Anni</t>
  </si>
  <si>
    <t>coeff.</t>
  </si>
  <si>
    <t>Tipo Abitazioni</t>
  </si>
  <si>
    <t>1÷5</t>
  </si>
  <si>
    <t>Signorili</t>
  </si>
  <si>
    <t>A/1</t>
  </si>
  <si>
    <t>Civili</t>
  </si>
  <si>
    <t>A/2</t>
  </si>
  <si>
    <t>Economiche</t>
  </si>
  <si>
    <t>A/3</t>
  </si>
  <si>
    <t>Popolari</t>
  </si>
  <si>
    <t>A/4</t>
  </si>
  <si>
    <t>Ultrapopolari</t>
  </si>
  <si>
    <t>A/5</t>
  </si>
  <si>
    <t>Rurali</t>
  </si>
  <si>
    <t>A/6</t>
  </si>
  <si>
    <t>Villini</t>
  </si>
  <si>
    <t>A/7</t>
  </si>
  <si>
    <t>Alloggi tipici dei luoghi</t>
  </si>
  <si>
    <t>A/11</t>
  </si>
  <si>
    <t>(2) Ubicazione</t>
  </si>
  <si>
    <t>Ubicaz. comuni sup. a 20.000 Abitanti</t>
  </si>
  <si>
    <t>Zone</t>
  </si>
  <si>
    <t>agricola</t>
  </si>
  <si>
    <t>edificata periferica</t>
  </si>
  <si>
    <t>edif.perif.</t>
  </si>
  <si>
    <t>fra periferia e zone A</t>
  </si>
  <si>
    <t>fra perif.e A</t>
  </si>
  <si>
    <t>di pregio</t>
  </si>
  <si>
    <t>centro storico</t>
  </si>
  <si>
    <t>Ubicaz. comuni fino a 20.000 Abitanti</t>
  </si>
  <si>
    <t>centro edificato</t>
  </si>
  <si>
    <t>(3) Livello di Piano</t>
  </si>
  <si>
    <t>Abitaz. Situate al piano</t>
  </si>
  <si>
    <t>seminterrato</t>
  </si>
  <si>
    <t>terreno</t>
  </si>
  <si>
    <t>intermedio e ultimo</t>
  </si>
  <si>
    <t>attico</t>
  </si>
  <si>
    <t>(4) Conserv. e manutenz.</t>
  </si>
  <si>
    <t>COSTO BASE al mq.</t>
  </si>
  <si>
    <t>stato</t>
  </si>
  <si>
    <t>Normale</t>
  </si>
  <si>
    <t>Mediocre</t>
  </si>
  <si>
    <t>Scadente</t>
  </si>
  <si>
    <t>(5) Demografia</t>
  </si>
  <si>
    <t>abitanti</t>
  </si>
  <si>
    <t>&gt; 400.000</t>
  </si>
  <si>
    <t>&gt; 250.000</t>
  </si>
  <si>
    <t>&gt; 100.000</t>
  </si>
  <si>
    <t>&gt; 50.000</t>
  </si>
  <si>
    <t>&gt; 10.000</t>
  </si>
  <si>
    <t>&lt; 10.000</t>
  </si>
  <si>
    <t>oltre</t>
  </si>
  <si>
    <t>COSTO BASE a MQ</t>
  </si>
  <si>
    <t>TIPOLOGIA CATASTALE</t>
  </si>
  <si>
    <t>DEMOGRAFIA abitanti</t>
  </si>
  <si>
    <t>UBICAZIONE ZONA</t>
  </si>
  <si>
    <t>LIVELLO piano</t>
  </si>
  <si>
    <t>VETUSTA' anni</t>
  </si>
  <si>
    <t>Stato di CONSERVAZ.</t>
  </si>
  <si>
    <t>COSTO UNITARIO di PRODUZIONE</t>
  </si>
  <si>
    <t>Consistenza della Difformità, calcolata in termini di Sup. Utile Lorda</t>
  </si>
  <si>
    <r>
      <rPr>
        <b/>
        <sz val="10"/>
        <color indexed="8"/>
        <rFont val="Calibri"/>
        <family val="2"/>
      </rPr>
      <t>= m</t>
    </r>
    <r>
      <rPr>
        <b/>
        <vertAlign val="superscript"/>
        <sz val="10"/>
        <color indexed="8"/>
        <rFont val="Calibri"/>
        <family val="2"/>
      </rPr>
      <t>2</t>
    </r>
  </si>
  <si>
    <t xml:space="preserve">Costo di Produzione </t>
  </si>
  <si>
    <t>= €</t>
  </si>
  <si>
    <t>Sup.Convenz.</t>
  </si>
  <si>
    <t>x</t>
  </si>
  <si>
    <t>Costo Produz.Unitario</t>
  </si>
  <si>
    <t>Prod.Coeff.</t>
  </si>
  <si>
    <t>Calcolo SANZIONE PECUN.</t>
  </si>
  <si>
    <t>Il tecnico</t>
  </si>
  <si>
    <t>COMUNE DI BUTI (Provincia di Pisa)</t>
  </si>
  <si>
    <t>1/4  DEGLI ONERI DI URBANIZZAZIONE  + 1/2 DEL COSTO DI COSTRUZIONE</t>
  </si>
  <si>
    <t xml:space="preserve">1/4  DEGLI ONERI DI URBANIZZAZIONE  </t>
  </si>
  <si>
    <t>NO</t>
  </si>
  <si>
    <t>DIRITTI DI SEGRETERIA (Versamento da eseguirsi a parte)</t>
  </si>
  <si>
    <r>
      <t xml:space="preserve">NOTE  ESPLICATIVE </t>
    </r>
    <r>
      <rPr>
        <sz val="9"/>
        <rFont val="Times New Roman"/>
        <family val="1"/>
      </rPr>
      <t>(pagina da non allegare al foglio di calcolo)</t>
    </r>
  </si>
  <si>
    <r>
      <t xml:space="preserve"> Inserire la somma delle </t>
    </r>
    <r>
      <rPr>
        <u val="single"/>
        <sz val="9"/>
        <rFont val="Times New Roman"/>
        <family val="1"/>
      </rPr>
      <t>superfici utili abitabili (Su)</t>
    </r>
    <r>
      <rPr>
        <sz val="9"/>
        <rFont val="Times New Roman"/>
        <family val="1"/>
      </rPr>
      <t xml:space="preserve"> nella riga corrispondente alla classe della u.i</t>
    </r>
  </si>
  <si>
    <r>
      <t xml:space="preserve"> Inserire le somme delle </t>
    </r>
    <r>
      <rPr>
        <u val="single"/>
        <sz val="9"/>
        <rFont val="Times New Roman"/>
        <family val="1"/>
      </rPr>
      <t>superfici non residenziali destinate a servizi e accessori (Snr)</t>
    </r>
    <r>
      <rPr>
        <sz val="9"/>
        <rFont val="Times New Roman"/>
        <family val="1"/>
      </rPr>
      <t xml:space="preserve"> divise</t>
    </r>
  </si>
  <si>
    <t>NOME</t>
  </si>
  <si>
    <t>PRATICA</t>
  </si>
  <si>
    <t>Da riportare nel foglio principale</t>
  </si>
  <si>
    <t>BARRARE CON X AL POSTO DELLO ZERO</t>
  </si>
  <si>
    <t>Costo di costruzione per l'ampliamento e ristrutturazione dell'edificio o nuova costruzione in Euro</t>
  </si>
  <si>
    <t>INDICAZIONE PER LA COMPILAZIONE</t>
  </si>
  <si>
    <t>INSERIRE NOMINATIVO</t>
  </si>
  <si>
    <t>INSERIRE NUMERO PRATICA O PROTOCOLLO</t>
  </si>
  <si>
    <t xml:space="preserve">INSERIRE I MC O I MQ DI OGNI SINGOLA UNITA' </t>
  </si>
  <si>
    <t>INSERIRE L'IMPORTO CORRISPONDENTE ALLA TABELLA DA CORRISPONDERE</t>
  </si>
  <si>
    <t xml:space="preserve">INSERIRE LA PERCENTUALE CALCOLATA IN MODO AUTOMATICO NEL CALCOLO </t>
  </si>
  <si>
    <t xml:space="preserve">INDICARE L'IMPORTO DEI DIRITTI DI SEGRETERIA </t>
  </si>
  <si>
    <t>Nuove costruzioni e ristrutturazioni</t>
  </si>
  <si>
    <t>INSEDIAMENTI ,COMMERCIALI E DIREZIONALI</t>
  </si>
  <si>
    <t>TAB 4:</t>
  </si>
  <si>
    <t>REALIZZAZIONE PISCINE AD USO PRIVATO</t>
  </si>
  <si>
    <t>Buti</t>
  </si>
  <si>
    <t>Costo massimo al mq.  NUOVO-RIST. URB € 284,09 / RIST. EDILIZIA € 142,10</t>
  </si>
  <si>
    <t>INSERIRE IL COSTO AL MQ CORRETTO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</si>
</sst>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/m/yy"/>
    <numFmt numFmtId="174" formatCode="&quot;€  &quot;#,##0.00"/>
    <numFmt numFmtId="175" formatCode="0.000"/>
    <numFmt numFmtId="176" formatCode="_-* #,##0.000_-;\-* #,##0.000_-;_-* \-??_-;_-@_-"/>
    <numFmt numFmtId="177" formatCode="0.0000"/>
    <numFmt numFmtId="178" formatCode="_-* #,##0.00&quot; €&quot;_-;\-* #,##0.00&quot; €&quot;_-;_-* \-??&quot; €&quot;_-;_-@_-"/>
    <numFmt numFmtId="179" formatCode="_-* #,##0.00_-;\-* #,##0.00_-;_-* \-????_-;_-@_-"/>
    <numFmt numFmtId="180" formatCode="dd/mm/yy"/>
    <numFmt numFmtId="181" formatCode="#,##0.0"/>
  </numFmts>
  <fonts count="97">
    <font>
      <sz val="10"/>
      <color indexed="4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b/>
      <sz val="9"/>
      <color indexed="10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9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rgb="FF0070C0"/>
      <name val="Times New Roman"/>
      <family val="1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9"/>
      <color theme="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2" applyNumberFormat="0" applyFill="0" applyAlignment="0" applyProtection="0"/>
    <xf numFmtId="0" fontId="71" fillId="21" borderId="3" applyNumberForma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9" fillId="0" borderId="0">
      <alignment/>
      <protection/>
    </xf>
    <xf numFmtId="0" fontId="72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3" fillId="29" borderId="0" applyNumberFormat="0" applyBorder="0" applyAlignment="0" applyProtection="0"/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1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48" applyProtection="1">
      <alignment/>
      <protection/>
    </xf>
    <xf numFmtId="0" fontId="3" fillId="0" borderId="10" xfId="48" applyFont="1" applyBorder="1" applyProtection="1">
      <alignment/>
      <protection locked="0"/>
    </xf>
    <xf numFmtId="0" fontId="3" fillId="0" borderId="11" xfId="48" applyFont="1" applyBorder="1" applyProtection="1">
      <alignment/>
      <protection locked="0"/>
    </xf>
    <xf numFmtId="0" fontId="3" fillId="0" borderId="12" xfId="48" applyFont="1" applyBorder="1" applyProtection="1">
      <alignment/>
      <protection locked="0"/>
    </xf>
    <xf numFmtId="0" fontId="1" fillId="0" borderId="0" xfId="49">
      <alignment/>
      <protection/>
    </xf>
    <xf numFmtId="0" fontId="3" fillId="0" borderId="0" xfId="49" applyFont="1" applyBorder="1" applyAlignment="1">
      <alignment horizontal="center"/>
      <protection/>
    </xf>
    <xf numFmtId="0" fontId="5" fillId="0" borderId="0" xfId="49" applyFont="1">
      <alignment/>
      <protection/>
    </xf>
    <xf numFmtId="0" fontId="4" fillId="0" borderId="13" xfId="49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5" xfId="49" applyFont="1" applyBorder="1">
      <alignment/>
      <protection/>
    </xf>
    <xf numFmtId="0" fontId="4" fillId="0" borderId="0" xfId="49" applyFont="1" applyBorder="1">
      <alignment/>
      <protection/>
    </xf>
    <xf numFmtId="0" fontId="5" fillId="0" borderId="0" xfId="49" applyFont="1" applyBorder="1">
      <alignment/>
      <protection/>
    </xf>
    <xf numFmtId="4" fontId="4" fillId="0" borderId="0" xfId="49" applyNumberFormat="1" applyFont="1" applyBorder="1" applyAlignment="1">
      <alignment horizontal="right" vertical="center"/>
      <protection/>
    </xf>
    <xf numFmtId="0" fontId="1" fillId="0" borderId="0" xfId="49" applyFont="1">
      <alignment/>
      <protection/>
    </xf>
    <xf numFmtId="0" fontId="7" fillId="0" borderId="0" xfId="49" applyFont="1" applyBorder="1" applyAlignment="1">
      <alignment vertical="center"/>
      <protection/>
    </xf>
    <xf numFmtId="9" fontId="5" fillId="0" borderId="0" xfId="49" applyNumberFormat="1" applyFont="1" applyBorder="1" applyAlignment="1">
      <alignment horizontal="left"/>
      <protection/>
    </xf>
    <xf numFmtId="9" fontId="4" fillId="0" borderId="0" xfId="49" applyNumberFormat="1" applyFont="1" applyBorder="1" applyAlignment="1">
      <alignment horizontal="right" vertical="center"/>
      <protection/>
    </xf>
    <xf numFmtId="0" fontId="7" fillId="0" borderId="16" xfId="49" applyFont="1" applyBorder="1" applyAlignment="1">
      <alignment horizontal="left" vertical="center"/>
      <protection/>
    </xf>
    <xf numFmtId="0" fontId="7" fillId="0" borderId="0" xfId="49" applyFont="1" applyBorder="1" applyAlignment="1">
      <alignment horizontal="left" vertical="center"/>
      <protection/>
    </xf>
    <xf numFmtId="0" fontId="7" fillId="0" borderId="0" xfId="49" applyFont="1" applyBorder="1">
      <alignment/>
      <protection/>
    </xf>
    <xf numFmtId="2" fontId="7" fillId="0" borderId="0" xfId="49" applyNumberFormat="1" applyFont="1" applyBorder="1" applyAlignment="1">
      <alignment horizontal="right"/>
      <protection/>
    </xf>
    <xf numFmtId="0" fontId="7" fillId="0" borderId="0" xfId="49" applyFont="1" applyBorder="1" applyAlignment="1">
      <alignment horizontal="right"/>
      <protection/>
    </xf>
    <xf numFmtId="0" fontId="7" fillId="0" borderId="17" xfId="49" applyFont="1" applyBorder="1">
      <alignment/>
      <protection/>
    </xf>
    <xf numFmtId="0" fontId="7" fillId="0" borderId="13" xfId="49" applyFont="1" applyBorder="1" applyAlignment="1">
      <alignment horizontal="left" vertical="center"/>
      <protection/>
    </xf>
    <xf numFmtId="0" fontId="7" fillId="0" borderId="14" xfId="49" applyFont="1" applyBorder="1" applyAlignment="1">
      <alignment horizontal="left" vertical="center"/>
      <protection/>
    </xf>
    <xf numFmtId="0" fontId="7" fillId="0" borderId="14" xfId="49" applyFont="1" applyFill="1" applyBorder="1">
      <alignment/>
      <protection/>
    </xf>
    <xf numFmtId="2" fontId="7" fillId="0" borderId="14" xfId="49" applyNumberFormat="1" applyFont="1" applyFill="1" applyBorder="1" applyAlignment="1">
      <alignment horizontal="right"/>
      <protection/>
    </xf>
    <xf numFmtId="0" fontId="7" fillId="0" borderId="14" xfId="49" applyFont="1" applyFill="1" applyBorder="1" applyAlignment="1">
      <alignment horizontal="right"/>
      <protection/>
    </xf>
    <xf numFmtId="0" fontId="7" fillId="0" borderId="14" xfId="49" applyFont="1" applyBorder="1">
      <alignment/>
      <protection/>
    </xf>
    <xf numFmtId="0" fontId="7" fillId="0" borderId="15" xfId="49" applyFont="1" applyBorder="1">
      <alignment/>
      <protection/>
    </xf>
    <xf numFmtId="0" fontId="7" fillId="0" borderId="18" xfId="49" applyFont="1" applyBorder="1" applyAlignment="1">
      <alignment horizontal="left" vertical="center"/>
      <protection/>
    </xf>
    <xf numFmtId="0" fontId="7" fillId="0" borderId="18" xfId="49" applyFont="1" applyFill="1" applyBorder="1">
      <alignment/>
      <protection/>
    </xf>
    <xf numFmtId="2" fontId="7" fillId="0" borderId="18" xfId="49" applyNumberFormat="1" applyFont="1" applyFill="1" applyBorder="1" applyAlignment="1">
      <alignment horizontal="right"/>
      <protection/>
    </xf>
    <xf numFmtId="0" fontId="7" fillId="0" borderId="18" xfId="49" applyFont="1" applyFill="1" applyBorder="1" applyAlignment="1">
      <alignment horizontal="right"/>
      <protection/>
    </xf>
    <xf numFmtId="0" fontId="7" fillId="0" borderId="18" xfId="49" applyFont="1" applyBorder="1">
      <alignment/>
      <protection/>
    </xf>
    <xf numFmtId="0" fontId="5" fillId="0" borderId="0" xfId="49" applyFont="1" applyAlignment="1">
      <alignment horizontal="left" vertical="center"/>
      <protection/>
    </xf>
    <xf numFmtId="0" fontId="5" fillId="0" borderId="0" xfId="49" applyFont="1" applyFill="1" applyBorder="1">
      <alignment/>
      <protection/>
    </xf>
    <xf numFmtId="2" fontId="5" fillId="0" borderId="0" xfId="49" applyNumberFormat="1" applyFont="1" applyFill="1" applyBorder="1" applyAlignment="1">
      <alignment horizontal="right"/>
      <protection/>
    </xf>
    <xf numFmtId="0" fontId="5" fillId="0" borderId="0" xfId="49" applyFont="1" applyFill="1" applyBorder="1" applyAlignment="1">
      <alignment horizontal="right"/>
      <protection/>
    </xf>
    <xf numFmtId="0" fontId="4" fillId="0" borderId="0" xfId="49" applyFont="1" applyAlignment="1">
      <alignment horizontal="right" vertical="center"/>
      <protection/>
    </xf>
    <xf numFmtId="0" fontId="1" fillId="0" borderId="0" xfId="49" applyAlignment="1">
      <alignment/>
      <protection/>
    </xf>
    <xf numFmtId="0" fontId="8" fillId="0" borderId="19" xfId="49" applyFont="1" applyFill="1" applyBorder="1">
      <alignment/>
      <protection/>
    </xf>
    <xf numFmtId="0" fontId="8" fillId="0" borderId="0" xfId="49" applyFont="1" applyFill="1" applyBorder="1">
      <alignment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8" fillId="0" borderId="0" xfId="49" applyFont="1" applyAlignment="1">
      <alignment horizontal="right" vertical="center"/>
      <protection/>
    </xf>
    <xf numFmtId="0" fontId="8" fillId="0" borderId="20" xfId="49" applyFont="1" applyFill="1" applyBorder="1" applyAlignment="1">
      <alignment vertical="center"/>
      <protection/>
    </xf>
    <xf numFmtId="9" fontId="8" fillId="33" borderId="21" xfId="49" applyNumberFormat="1" applyFont="1" applyFill="1" applyBorder="1" applyAlignment="1">
      <alignment horizontal="right" vertical="center"/>
      <protection/>
    </xf>
    <xf numFmtId="0" fontId="1" fillId="0" borderId="0" xfId="49" applyAlignment="1">
      <alignment horizontal="center" vertical="center"/>
      <protection/>
    </xf>
    <xf numFmtId="0" fontId="7" fillId="0" borderId="22" xfId="49" applyFont="1" applyBorder="1" applyAlignment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49" applyNumberFormat="1">
      <alignment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17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2" fontId="0" fillId="35" borderId="23" xfId="0" applyNumberForma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15" fillId="35" borderId="18" xfId="0" applyFont="1" applyFill="1" applyBorder="1" applyAlignment="1">
      <alignment vertical="center"/>
    </xf>
    <xf numFmtId="0" fontId="16" fillId="35" borderId="18" xfId="0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center" vertical="center"/>
    </xf>
    <xf numFmtId="2" fontId="9" fillId="35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2" fontId="9" fillId="35" borderId="24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2" fontId="23" fillId="0" borderId="33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8" fontId="26" fillId="0" borderId="19" xfId="0" applyNumberFormat="1" applyFont="1" applyBorder="1" applyAlignment="1">
      <alignment horizontal="center" vertical="center"/>
    </xf>
    <xf numFmtId="0" fontId="27" fillId="34" borderId="20" xfId="0" applyFont="1" applyFill="1" applyBorder="1" applyAlignment="1">
      <alignment vertical="center"/>
    </xf>
    <xf numFmtId="0" fontId="27" fillId="34" borderId="3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179" fontId="27" fillId="0" borderId="35" xfId="0" applyNumberFormat="1" applyFont="1" applyBorder="1" applyAlignment="1">
      <alignment vertical="center"/>
    </xf>
    <xf numFmtId="176" fontId="27" fillId="0" borderId="35" xfId="0" applyNumberFormat="1" applyFont="1" applyBorder="1" applyAlignment="1">
      <alignment vertical="center"/>
    </xf>
    <xf numFmtId="1" fontId="27" fillId="0" borderId="35" xfId="0" applyNumberFormat="1" applyFont="1" applyBorder="1" applyAlignment="1">
      <alignment horizontal="center" vertical="center"/>
    </xf>
    <xf numFmtId="178" fontId="28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9" fontId="67" fillId="2" borderId="21" xfId="15" applyNumberFormat="1" applyBorder="1" applyAlignment="1">
      <alignment horizontal="right" vertical="center"/>
    </xf>
    <xf numFmtId="9" fontId="67" fillId="2" borderId="36" xfId="15" applyNumberFormat="1" applyBorder="1" applyAlignment="1">
      <alignment horizontal="right" vertical="center"/>
    </xf>
    <xf numFmtId="0" fontId="67" fillId="2" borderId="25" xfId="15" applyBorder="1" applyAlignment="1">
      <alignment/>
    </xf>
    <xf numFmtId="9" fontId="67" fillId="2" borderId="18" xfId="15" applyNumberFormat="1" applyBorder="1" applyAlignment="1">
      <alignment horizontal="left"/>
    </xf>
    <xf numFmtId="9" fontId="67" fillId="2" borderId="29" xfId="15" applyNumberFormat="1" applyBorder="1" applyAlignment="1">
      <alignment horizontal="right" vertical="center"/>
    </xf>
    <xf numFmtId="0" fontId="67" fillId="2" borderId="18" xfId="15" applyBorder="1" applyAlignment="1">
      <alignment vertical="center"/>
    </xf>
    <xf numFmtId="0" fontId="67" fillId="2" borderId="18" xfId="15" applyBorder="1" applyAlignment="1">
      <alignment/>
    </xf>
    <xf numFmtId="0" fontId="67" fillId="2" borderId="29" xfId="15" applyBorder="1" applyAlignment="1">
      <alignment/>
    </xf>
    <xf numFmtId="0" fontId="67" fillId="2" borderId="29" xfId="15" applyBorder="1" applyAlignment="1">
      <alignment horizontal="right" vertical="center"/>
    </xf>
    <xf numFmtId="0" fontId="33" fillId="0" borderId="0" xfId="0" applyFont="1" applyAlignment="1" applyProtection="1">
      <alignment/>
      <protection hidden="1"/>
    </xf>
    <xf numFmtId="0" fontId="84" fillId="0" borderId="0" xfId="0" applyFont="1" applyFill="1" applyBorder="1" applyAlignment="1" applyProtection="1">
      <alignment/>
      <protection hidden="1"/>
    </xf>
    <xf numFmtId="0" fontId="84" fillId="0" borderId="16" xfId="0" applyFont="1" applyFill="1" applyBorder="1" applyAlignment="1" applyProtection="1">
      <alignment/>
      <protection hidden="1"/>
    </xf>
    <xf numFmtId="0" fontId="84" fillId="0" borderId="17" xfId="0" applyFont="1" applyFill="1" applyBorder="1" applyAlignment="1" applyProtection="1">
      <alignment/>
      <protection hidden="1"/>
    </xf>
    <xf numFmtId="0" fontId="33" fillId="0" borderId="16" xfId="0" applyFont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84" fillId="0" borderId="0" xfId="0" applyFont="1" applyFill="1" applyBorder="1" applyAlignment="1" applyProtection="1">
      <alignment horizontal="left"/>
      <protection hidden="1"/>
    </xf>
    <xf numFmtId="0" fontId="36" fillId="0" borderId="17" xfId="0" applyFont="1" applyFill="1" applyBorder="1" applyAlignment="1" applyProtection="1">
      <alignment horizontal="center"/>
      <protection hidden="1"/>
    </xf>
    <xf numFmtId="0" fontId="84" fillId="0" borderId="0" xfId="0" applyFont="1" applyFill="1" applyBorder="1" applyAlignment="1" applyProtection="1">
      <alignment horizontal="center"/>
      <protection hidden="1"/>
    </xf>
    <xf numFmtId="0" fontId="85" fillId="2" borderId="37" xfId="15" applyFont="1" applyBorder="1" applyAlignment="1" applyProtection="1">
      <alignment horizontal="center"/>
      <protection locked="0"/>
    </xf>
    <xf numFmtId="0" fontId="33" fillId="8" borderId="38" xfId="21" applyFont="1" applyBorder="1" applyAlignment="1" applyProtection="1">
      <alignment/>
      <protection hidden="1"/>
    </xf>
    <xf numFmtId="0" fontId="33" fillId="8" borderId="39" xfId="21" applyFont="1" applyBorder="1" applyAlignment="1" applyProtection="1">
      <alignment/>
      <protection hidden="1"/>
    </xf>
    <xf numFmtId="0" fontId="33" fillId="8" borderId="0" xfId="21" applyFont="1" applyBorder="1" applyAlignment="1" applyProtection="1">
      <alignment/>
      <protection hidden="1"/>
    </xf>
    <xf numFmtId="0" fontId="33" fillId="8" borderId="40" xfId="21" applyFont="1" applyBorder="1" applyAlignment="1" applyProtection="1">
      <alignment/>
      <protection hidden="1"/>
    </xf>
    <xf numFmtId="0" fontId="85" fillId="8" borderId="21" xfId="21" applyFont="1" applyBorder="1" applyAlignment="1" applyProtection="1">
      <alignment horizontal="center" vertical="center"/>
      <protection locked="0"/>
    </xf>
    <xf numFmtId="0" fontId="33" fillId="8" borderId="21" xfId="21" applyFont="1" applyBorder="1" applyAlignment="1" applyProtection="1">
      <alignment horizontal="center"/>
      <protection hidden="1"/>
    </xf>
    <xf numFmtId="0" fontId="33" fillId="8" borderId="41" xfId="21" applyFont="1" applyBorder="1" applyAlignment="1" applyProtection="1">
      <alignment/>
      <protection hidden="1"/>
    </xf>
    <xf numFmtId="0" fontId="33" fillId="8" borderId="0" xfId="21" applyFont="1" applyBorder="1" applyAlignment="1" applyProtection="1">
      <alignment horizontal="right"/>
      <protection hidden="1"/>
    </xf>
    <xf numFmtId="0" fontId="33" fillId="8" borderId="21" xfId="21" applyFont="1" applyBorder="1" applyAlignment="1" applyProtection="1">
      <alignment/>
      <protection hidden="1"/>
    </xf>
    <xf numFmtId="0" fontId="33" fillId="8" borderId="42" xfId="21" applyFont="1" applyBorder="1" applyAlignment="1" applyProtection="1">
      <alignment/>
      <protection hidden="1"/>
    </xf>
    <xf numFmtId="0" fontId="33" fillId="8" borderId="43" xfId="21" applyFont="1" applyBorder="1" applyAlignment="1" applyProtection="1">
      <alignment/>
      <protection hidden="1"/>
    </xf>
    <xf numFmtId="0" fontId="33" fillId="8" borderId="44" xfId="21" applyFont="1" applyBorder="1" applyAlignment="1" applyProtection="1">
      <alignment/>
      <protection hidden="1"/>
    </xf>
    <xf numFmtId="0" fontId="33" fillId="8" borderId="44" xfId="21" applyFont="1" applyBorder="1" applyAlignment="1" applyProtection="1">
      <alignment horizontal="right"/>
      <protection hidden="1"/>
    </xf>
    <xf numFmtId="0" fontId="33" fillId="8" borderId="45" xfId="21" applyFont="1" applyBorder="1" applyAlignment="1" applyProtection="1">
      <alignment horizontal="center"/>
      <protection hidden="1"/>
    </xf>
    <xf numFmtId="0" fontId="33" fillId="8" borderId="46" xfId="21" applyFont="1" applyBorder="1" applyAlignment="1" applyProtection="1">
      <alignment/>
      <protection hidden="1"/>
    </xf>
    <xf numFmtId="0" fontId="86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14" borderId="47" xfId="27" applyFont="1" applyBorder="1" applyAlignment="1" applyProtection="1">
      <alignment horizontal="right"/>
      <protection hidden="1"/>
    </xf>
    <xf numFmtId="0" fontId="33" fillId="14" borderId="0" xfId="27" applyFont="1" applyBorder="1" applyAlignment="1" applyProtection="1">
      <alignment horizontal="center"/>
      <protection hidden="1"/>
    </xf>
    <xf numFmtId="0" fontId="33" fillId="14" borderId="0" xfId="27" applyFont="1" applyBorder="1" applyAlignment="1" applyProtection="1">
      <alignment/>
      <protection hidden="1"/>
    </xf>
    <xf numFmtId="0" fontId="33" fillId="14" borderId="48" xfId="27" applyFont="1" applyBorder="1" applyAlignment="1" applyProtection="1">
      <alignment/>
      <protection hidden="1"/>
    </xf>
    <xf numFmtId="0" fontId="86" fillId="0" borderId="16" xfId="0" applyFont="1" applyFill="1" applyBorder="1" applyAlignment="1" applyProtection="1">
      <alignment/>
      <protection hidden="1"/>
    </xf>
    <xf numFmtId="0" fontId="33" fillId="14" borderId="47" xfId="27" applyFont="1" applyBorder="1" applyAlignment="1" applyProtection="1">
      <alignment/>
      <protection hidden="1"/>
    </xf>
    <xf numFmtId="0" fontId="33" fillId="0" borderId="21" xfId="0" applyFont="1" applyFill="1" applyBorder="1" applyAlignment="1" applyProtection="1">
      <alignment horizontal="center"/>
      <protection hidden="1"/>
    </xf>
    <xf numFmtId="0" fontId="33" fillId="14" borderId="49" xfId="27" applyFont="1" applyBorder="1" applyAlignment="1" applyProtection="1">
      <alignment/>
      <protection hidden="1"/>
    </xf>
    <xf numFmtId="0" fontId="33" fillId="14" borderId="21" xfId="27" applyFont="1" applyBorder="1" applyAlignment="1" applyProtection="1">
      <alignment horizontal="center" wrapText="1"/>
      <protection hidden="1"/>
    </xf>
    <xf numFmtId="0" fontId="33" fillId="14" borderId="21" xfId="27" applyFont="1" applyBorder="1" applyAlignment="1" applyProtection="1">
      <alignment horizontal="center"/>
      <protection hidden="1"/>
    </xf>
    <xf numFmtId="49" fontId="33" fillId="0" borderId="23" xfId="0" applyNumberFormat="1" applyFont="1" applyFill="1" applyBorder="1" applyAlignment="1" applyProtection="1">
      <alignment horizontal="center" vertical="center"/>
      <protection hidden="1"/>
    </xf>
    <xf numFmtId="49" fontId="33" fillId="14" borderId="49" xfId="27" applyNumberFormat="1" applyFont="1" applyBorder="1" applyAlignment="1" applyProtection="1">
      <alignment horizontal="center" vertical="center"/>
      <protection hidden="1"/>
    </xf>
    <xf numFmtId="49" fontId="33" fillId="14" borderId="21" xfId="27" applyNumberFormat="1" applyFont="1" applyBorder="1" applyAlignment="1" applyProtection="1">
      <alignment horizontal="center" vertical="center"/>
      <protection hidden="1"/>
    </xf>
    <xf numFmtId="0" fontId="33" fillId="0" borderId="21" xfId="0" applyFont="1" applyFill="1" applyBorder="1" applyAlignment="1" applyProtection="1">
      <alignment/>
      <protection hidden="1"/>
    </xf>
    <xf numFmtId="0" fontId="37" fillId="0" borderId="21" xfId="0" applyFont="1" applyFill="1" applyBorder="1" applyAlignment="1" applyProtection="1">
      <alignment/>
      <protection hidden="1"/>
    </xf>
    <xf numFmtId="0" fontId="87" fillId="8" borderId="21" xfId="21" applyFont="1" applyBorder="1" applyAlignment="1" applyProtection="1">
      <alignment horizontal="center"/>
      <protection hidden="1"/>
    </xf>
    <xf numFmtId="0" fontId="88" fillId="22" borderId="21" xfId="36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/>
      <protection hidden="1"/>
    </xf>
    <xf numFmtId="0" fontId="33" fillId="14" borderId="0" xfId="27" applyFont="1" applyAlignment="1" applyProtection="1">
      <alignment/>
      <protection hidden="1"/>
    </xf>
    <xf numFmtId="0" fontId="33" fillId="14" borderId="0" xfId="27" applyFont="1" applyBorder="1" applyAlignment="1" applyProtection="1">
      <alignment wrapText="1"/>
      <protection hidden="1"/>
    </xf>
    <xf numFmtId="0" fontId="33" fillId="14" borderId="48" xfId="27" applyFont="1" applyBorder="1" applyAlignment="1" applyProtection="1">
      <alignment wrapText="1"/>
      <protection hidden="1"/>
    </xf>
    <xf numFmtId="0" fontId="33" fillId="14" borderId="36" xfId="27" applyFont="1" applyBorder="1" applyAlignment="1" applyProtection="1">
      <alignment horizontal="center"/>
      <protection hidden="1"/>
    </xf>
    <xf numFmtId="0" fontId="33" fillId="14" borderId="24" xfId="27" applyFont="1" applyBorder="1" applyAlignment="1" applyProtection="1">
      <alignment horizontal="center"/>
      <protection hidden="1"/>
    </xf>
    <xf numFmtId="0" fontId="33" fillId="14" borderId="50" xfId="27" applyFont="1" applyBorder="1" applyAlignment="1" applyProtection="1">
      <alignment horizontal="right"/>
      <protection hidden="1"/>
    </xf>
    <xf numFmtId="0" fontId="33" fillId="14" borderId="51" xfId="27" applyFont="1" applyBorder="1" applyAlignment="1" applyProtection="1">
      <alignment horizontal="center"/>
      <protection hidden="1"/>
    </xf>
    <xf numFmtId="0" fontId="33" fillId="14" borderId="51" xfId="27" applyFont="1" applyBorder="1" applyAlignment="1" applyProtection="1">
      <alignment/>
      <protection hidden="1"/>
    </xf>
    <xf numFmtId="0" fontId="33" fillId="14" borderId="52" xfId="27" applyFont="1" applyBorder="1" applyAlignment="1" applyProtection="1">
      <alignment wrapText="1"/>
      <protection hidden="1"/>
    </xf>
    <xf numFmtId="0" fontId="36" fillId="0" borderId="21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3" fillId="2" borderId="49" xfId="15" applyFont="1" applyBorder="1" applyAlignment="1" applyProtection="1">
      <alignment wrapText="1"/>
      <protection hidden="1"/>
    </xf>
    <xf numFmtId="0" fontId="33" fillId="2" borderId="53" xfId="15" applyFont="1" applyBorder="1" applyAlignment="1" applyProtection="1">
      <alignment wrapText="1"/>
      <protection hidden="1"/>
    </xf>
    <xf numFmtId="49" fontId="33" fillId="2" borderId="49" xfId="15" applyNumberFormat="1" applyFont="1" applyBorder="1" applyAlignment="1" applyProtection="1">
      <alignment horizontal="center" vertical="center"/>
      <protection hidden="1"/>
    </xf>
    <xf numFmtId="49" fontId="33" fillId="2" borderId="53" xfId="15" applyNumberFormat="1" applyFont="1" applyBorder="1" applyAlignment="1" applyProtection="1">
      <alignment horizontal="center" vertical="center"/>
      <protection hidden="1"/>
    </xf>
    <xf numFmtId="0" fontId="33" fillId="2" borderId="54" xfId="15" applyFont="1" applyBorder="1" applyAlignment="1" applyProtection="1">
      <alignment horizontal="center"/>
      <protection hidden="1"/>
    </xf>
    <xf numFmtId="0" fontId="33" fillId="2" borderId="55" xfId="15" applyFont="1" applyBorder="1" applyAlignment="1" applyProtection="1">
      <alignment horizontal="center"/>
      <protection hidden="1"/>
    </xf>
    <xf numFmtId="0" fontId="33" fillId="2" borderId="56" xfId="15" applyFont="1" applyBorder="1" applyAlignment="1" applyProtection="1">
      <alignment horizontal="center"/>
      <protection hidden="1"/>
    </xf>
    <xf numFmtId="0" fontId="33" fillId="2" borderId="57" xfId="15" applyFont="1" applyBorder="1" applyAlignment="1" applyProtection="1">
      <alignment/>
      <protection hidden="1"/>
    </xf>
    <xf numFmtId="0" fontId="33" fillId="0" borderId="17" xfId="0" applyFont="1" applyFill="1" applyBorder="1" applyAlignment="1" applyProtection="1">
      <alignment/>
      <protection hidden="1"/>
    </xf>
    <xf numFmtId="0" fontId="84" fillId="0" borderId="25" xfId="0" applyFont="1" applyFill="1" applyBorder="1" applyAlignment="1" applyProtection="1">
      <alignment horizontal="center"/>
      <protection hidden="1"/>
    </xf>
    <xf numFmtId="0" fontId="84" fillId="0" borderId="16" xfId="0" applyFont="1" applyFill="1" applyBorder="1" applyAlignment="1" applyProtection="1">
      <alignment/>
      <protection hidden="1"/>
    </xf>
    <xf numFmtId="0" fontId="84" fillId="0" borderId="0" xfId="0" applyFont="1" applyFill="1" applyBorder="1" applyAlignment="1" applyProtection="1">
      <alignment/>
      <protection hidden="1"/>
    </xf>
    <xf numFmtId="4" fontId="36" fillId="19" borderId="5" xfId="32" applyNumberFormat="1" applyFont="1" applyBorder="1" applyAlignment="1" applyProtection="1">
      <alignment horizontal="center"/>
      <protection hidden="1"/>
    </xf>
    <xf numFmtId="4" fontId="36" fillId="27" borderId="21" xfId="41" applyNumberFormat="1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2" fontId="33" fillId="0" borderId="0" xfId="0" applyNumberFormat="1" applyFont="1" applyFill="1" applyBorder="1" applyAlignment="1" applyProtection="1">
      <alignment/>
      <protection hidden="1"/>
    </xf>
    <xf numFmtId="4" fontId="33" fillId="22" borderId="21" xfId="36" applyNumberFormat="1" applyFont="1" applyBorder="1" applyAlignment="1" applyProtection="1">
      <alignment horizontal="center"/>
      <protection hidden="1"/>
    </xf>
    <xf numFmtId="4" fontId="33" fillId="0" borderId="0" xfId="0" applyNumberFormat="1" applyFont="1" applyFill="1" applyBorder="1" applyAlignment="1" applyProtection="1">
      <alignment/>
      <protection hidden="1"/>
    </xf>
    <xf numFmtId="4" fontId="36" fillId="30" borderId="4" xfId="50" applyNumberFormat="1" applyFont="1" applyAlignment="1" applyProtection="1">
      <alignment/>
      <protection hidden="1"/>
    </xf>
    <xf numFmtId="0" fontId="33" fillId="0" borderId="14" xfId="0" applyFont="1" applyFill="1" applyBorder="1" applyAlignment="1" applyProtection="1">
      <alignment/>
      <protection hidden="1"/>
    </xf>
    <xf numFmtId="0" fontId="33" fillId="0" borderId="15" xfId="0" applyFont="1" applyFill="1" applyBorder="1" applyAlignment="1" applyProtection="1">
      <alignment/>
      <protection hidden="1"/>
    </xf>
    <xf numFmtId="0" fontId="33" fillId="36" borderId="0" xfId="0" applyFont="1" applyFill="1" applyBorder="1" applyAlignment="1" applyProtection="1">
      <alignment/>
      <protection hidden="1"/>
    </xf>
    <xf numFmtId="9" fontId="33" fillId="36" borderId="0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right"/>
      <protection hidden="1"/>
    </xf>
    <xf numFmtId="3" fontId="33" fillId="0" borderId="0" xfId="0" applyNumberFormat="1" applyFont="1" applyFill="1" applyBorder="1" applyAlignment="1" applyProtection="1">
      <alignment horizontal="right"/>
      <protection hidden="1"/>
    </xf>
    <xf numFmtId="3" fontId="33" fillId="0" borderId="0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vertical="center"/>
      <protection hidden="1"/>
    </xf>
    <xf numFmtId="0" fontId="36" fillId="0" borderId="58" xfId="0" applyFont="1" applyFill="1" applyBorder="1" applyAlignment="1" applyProtection="1">
      <alignment horizontal="center"/>
      <protection hidden="1"/>
    </xf>
    <xf numFmtId="0" fontId="33" fillId="0" borderId="19" xfId="0" applyFont="1" applyFill="1" applyBorder="1" applyAlignment="1" applyProtection="1">
      <alignment/>
      <protection hidden="1"/>
    </xf>
    <xf numFmtId="0" fontId="68" fillId="23" borderId="19" xfId="37" applyBorder="1" applyAlignment="1" applyProtection="1">
      <alignment/>
      <protection hidden="1"/>
    </xf>
    <xf numFmtId="0" fontId="33" fillId="14" borderId="49" xfId="27" applyFont="1" applyBorder="1" applyAlignment="1" applyProtection="1">
      <alignment horizontal="center"/>
      <protection hidden="1"/>
    </xf>
    <xf numFmtId="0" fontId="33" fillId="2" borderId="59" xfId="15" applyFont="1" applyBorder="1" applyAlignment="1" applyProtection="1">
      <alignment horizontal="center" vertical="center" wrapText="1"/>
      <protection hidden="1"/>
    </xf>
    <xf numFmtId="0" fontId="33" fillId="2" borderId="60" xfId="15" applyFont="1" applyBorder="1" applyAlignment="1" applyProtection="1">
      <alignment horizontal="center" vertical="center"/>
      <protection hidden="1"/>
    </xf>
    <xf numFmtId="0" fontId="33" fillId="2" borderId="60" xfId="15" applyFont="1" applyBorder="1" applyAlignment="1" applyProtection="1">
      <alignment horizontal="center" vertical="center" wrapText="1"/>
      <protection hidden="1"/>
    </xf>
    <xf numFmtId="0" fontId="33" fillId="2" borderId="38" xfId="15" applyFont="1" applyBorder="1" applyAlignment="1" applyProtection="1">
      <alignment/>
      <protection hidden="1"/>
    </xf>
    <xf numFmtId="0" fontId="33" fillId="2" borderId="39" xfId="15" applyFont="1" applyBorder="1" applyAlignment="1" applyProtection="1">
      <alignment/>
      <protection hidden="1"/>
    </xf>
    <xf numFmtId="49" fontId="33" fillId="2" borderId="61" xfId="15" applyNumberFormat="1" applyFont="1" applyBorder="1" applyAlignment="1" applyProtection="1">
      <alignment horizontal="center"/>
      <protection hidden="1"/>
    </xf>
    <xf numFmtId="49" fontId="33" fillId="2" borderId="21" xfId="15" applyNumberFormat="1" applyFont="1" applyBorder="1" applyAlignment="1" applyProtection="1">
      <alignment horizontal="center"/>
      <protection hidden="1"/>
    </xf>
    <xf numFmtId="49" fontId="33" fillId="2" borderId="21" xfId="15" applyNumberFormat="1" applyFont="1" applyBorder="1" applyAlignment="1" applyProtection="1">
      <alignment/>
      <protection hidden="1"/>
    </xf>
    <xf numFmtId="0" fontId="33" fillId="2" borderId="0" xfId="15" applyFont="1" applyBorder="1" applyAlignment="1" applyProtection="1">
      <alignment/>
      <protection hidden="1"/>
    </xf>
    <xf numFmtId="0" fontId="33" fillId="2" borderId="40" xfId="15" applyFont="1" applyBorder="1" applyAlignment="1" applyProtection="1">
      <alignment/>
      <protection hidden="1"/>
    </xf>
    <xf numFmtId="0" fontId="33" fillId="2" borderId="61" xfId="15" applyFont="1" applyBorder="1" applyAlignment="1" applyProtection="1">
      <alignment horizontal="center"/>
      <protection hidden="1"/>
    </xf>
    <xf numFmtId="0" fontId="33" fillId="2" borderId="21" xfId="15" applyFont="1" applyBorder="1" applyAlignment="1" applyProtection="1">
      <alignment horizontal="center"/>
      <protection hidden="1"/>
    </xf>
    <xf numFmtId="0" fontId="33" fillId="2" borderId="41" xfId="15" applyFont="1" applyBorder="1" applyAlignment="1" applyProtection="1">
      <alignment/>
      <protection hidden="1"/>
    </xf>
    <xf numFmtId="0" fontId="33" fillId="2" borderId="0" xfId="15" applyFont="1" applyBorder="1" applyAlignment="1" applyProtection="1">
      <alignment horizontal="right"/>
      <protection hidden="1"/>
    </xf>
    <xf numFmtId="0" fontId="33" fillId="2" borderId="43" xfId="15" applyFont="1" applyBorder="1" applyAlignment="1" applyProtection="1">
      <alignment/>
      <protection hidden="1"/>
    </xf>
    <xf numFmtId="0" fontId="33" fillId="2" borderId="44" xfId="15" applyFont="1" applyBorder="1" applyAlignment="1" applyProtection="1">
      <alignment/>
      <protection hidden="1"/>
    </xf>
    <xf numFmtId="0" fontId="33" fillId="2" borderId="46" xfId="15" applyFont="1" applyBorder="1" applyAlignment="1" applyProtection="1">
      <alignment/>
      <protection hidden="1"/>
    </xf>
    <xf numFmtId="0" fontId="33" fillId="8" borderId="21" xfId="21" applyFont="1" applyBorder="1" applyAlignment="1" applyProtection="1">
      <alignment vertical="center" wrapText="1"/>
      <protection hidden="1"/>
    </xf>
    <xf numFmtId="49" fontId="33" fillId="8" borderId="21" xfId="21" applyNumberFormat="1" applyFont="1" applyBorder="1" applyAlignment="1" applyProtection="1">
      <alignment horizontal="center" vertical="center"/>
      <protection hidden="1"/>
    </xf>
    <xf numFmtId="49" fontId="33" fillId="8" borderId="0" xfId="21" applyNumberFormat="1" applyFont="1" applyBorder="1" applyAlignment="1" applyProtection="1">
      <alignment horizontal="center" vertical="center"/>
      <protection hidden="1"/>
    </xf>
    <xf numFmtId="0" fontId="37" fillId="8" borderId="21" xfId="21" applyFont="1" applyBorder="1" applyAlignment="1" applyProtection="1">
      <alignment horizontal="center" vertical="center" wrapText="1"/>
      <protection hidden="1"/>
    </xf>
    <xf numFmtId="0" fontId="33" fillId="8" borderId="21" xfId="21" applyFont="1" applyBorder="1" applyAlignment="1" applyProtection="1">
      <alignment horizontal="center" vertical="center"/>
      <protection/>
    </xf>
    <xf numFmtId="0" fontId="89" fillId="2" borderId="21" xfId="15" applyFont="1" applyBorder="1" applyAlignment="1" applyProtection="1">
      <alignment horizontal="center"/>
      <protection/>
    </xf>
    <xf numFmtId="0" fontId="87" fillId="8" borderId="21" xfId="21" applyFont="1" applyBorder="1" applyAlignment="1" applyProtection="1">
      <alignment horizontal="center"/>
      <protection/>
    </xf>
    <xf numFmtId="0" fontId="36" fillId="34" borderId="19" xfId="0" applyFont="1" applyFill="1" applyBorder="1" applyAlignment="1" applyProtection="1">
      <alignment horizontal="center"/>
      <protection/>
    </xf>
    <xf numFmtId="0" fontId="85" fillId="14" borderId="21" xfId="27" applyFont="1" applyBorder="1" applyAlignment="1" applyProtection="1">
      <alignment horizontal="center"/>
      <protection locked="0"/>
    </xf>
    <xf numFmtId="0" fontId="90" fillId="9" borderId="21" xfId="22" applyFont="1" applyBorder="1" applyAlignment="1" applyProtection="1">
      <alignment horizontal="center"/>
      <protection locked="0"/>
    </xf>
    <xf numFmtId="0" fontId="30" fillId="0" borderId="0" xfId="48" applyFo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91" fillId="0" borderId="0" xfId="48" applyFont="1" applyProtection="1">
      <alignment/>
      <protection hidden="1"/>
    </xf>
    <xf numFmtId="4" fontId="30" fillId="0" borderId="0" xfId="48" applyNumberFormat="1" applyFont="1" applyProtection="1">
      <alignment/>
      <protection hidden="1"/>
    </xf>
    <xf numFmtId="0" fontId="39" fillId="2" borderId="10" xfId="15" applyFont="1" applyBorder="1" applyAlignment="1" applyProtection="1">
      <alignment/>
      <protection hidden="1"/>
    </xf>
    <xf numFmtId="0" fontId="39" fillId="2" borderId="11" xfId="15" applyFont="1" applyBorder="1" applyAlignment="1" applyProtection="1">
      <alignment/>
      <protection hidden="1"/>
    </xf>
    <xf numFmtId="0" fontId="39" fillId="2" borderId="12" xfId="15" applyFont="1" applyBorder="1" applyAlignment="1" applyProtection="1">
      <alignment/>
      <protection hidden="1"/>
    </xf>
    <xf numFmtId="0" fontId="31" fillId="0" borderId="0" xfId="48" applyFont="1" applyProtection="1">
      <alignment/>
      <protection hidden="1"/>
    </xf>
    <xf numFmtId="0" fontId="32" fillId="0" borderId="31" xfId="48" applyFont="1" applyBorder="1" applyAlignment="1" applyProtection="1">
      <alignment horizontal="center" vertical="center"/>
      <protection hidden="1"/>
    </xf>
    <xf numFmtId="0" fontId="32" fillId="0" borderId="62" xfId="48" applyFont="1" applyBorder="1" applyAlignment="1" applyProtection="1">
      <alignment horizontal="center" vertical="center"/>
      <protection hidden="1"/>
    </xf>
    <xf numFmtId="0" fontId="31" fillId="0" borderId="31" xfId="48" applyFont="1" applyBorder="1" applyAlignment="1" applyProtection="1">
      <alignment horizontal="center"/>
      <protection hidden="1"/>
    </xf>
    <xf numFmtId="4" fontId="31" fillId="0" borderId="32" xfId="48" applyNumberFormat="1" applyFont="1" applyBorder="1" applyAlignment="1" applyProtection="1">
      <alignment horizontal="center"/>
      <protection hidden="1"/>
    </xf>
    <xf numFmtId="0" fontId="33" fillId="0" borderId="63" xfId="48" applyFont="1" applyBorder="1" applyAlignment="1" applyProtection="1">
      <alignment vertical="center" wrapText="1"/>
      <protection hidden="1"/>
    </xf>
    <xf numFmtId="0" fontId="33" fillId="0" borderId="22" xfId="0" applyFont="1" applyBorder="1" applyAlignment="1" applyProtection="1">
      <alignment vertical="center" wrapText="1"/>
      <protection hidden="1"/>
    </xf>
    <xf numFmtId="0" fontId="33" fillId="0" borderId="64" xfId="48" applyFont="1" applyBorder="1" applyAlignment="1" applyProtection="1">
      <alignment vertical="center" wrapText="1"/>
      <protection hidden="1"/>
    </xf>
    <xf numFmtId="0" fontId="33" fillId="0" borderId="65" xfId="0" applyFont="1" applyBorder="1" applyAlignment="1" applyProtection="1">
      <alignment vertical="center" wrapText="1"/>
      <protection hidden="1"/>
    </xf>
    <xf numFmtId="0" fontId="32" fillId="0" borderId="0" xfId="48" applyFont="1" applyProtection="1">
      <alignment/>
      <protection hidden="1"/>
    </xf>
    <xf numFmtId="2" fontId="32" fillId="0" borderId="0" xfId="48" applyNumberFormat="1" applyFont="1" applyProtection="1">
      <alignment/>
      <protection hidden="1"/>
    </xf>
    <xf numFmtId="2" fontId="32" fillId="0" borderId="0" xfId="48" applyNumberFormat="1" applyFont="1" applyAlignment="1" applyProtection="1">
      <alignment horizontal="right"/>
      <protection hidden="1"/>
    </xf>
    <xf numFmtId="2" fontId="31" fillId="0" borderId="0" xfId="48" applyNumberFormat="1" applyFont="1" applyAlignment="1" applyProtection="1">
      <alignment horizontal="right"/>
      <protection hidden="1"/>
    </xf>
    <xf numFmtId="172" fontId="39" fillId="2" borderId="19" xfId="15" applyNumberFormat="1" applyFont="1" applyBorder="1" applyAlignment="1" applyProtection="1">
      <alignment horizontal="right"/>
      <protection hidden="1"/>
    </xf>
    <xf numFmtId="172" fontId="39" fillId="2" borderId="66" xfId="15" applyNumberFormat="1" applyFont="1" applyBorder="1" applyAlignment="1" applyProtection="1">
      <alignment/>
      <protection hidden="1"/>
    </xf>
    <xf numFmtId="4" fontId="32" fillId="0" borderId="0" xfId="48" applyNumberFormat="1" applyFont="1" applyProtection="1">
      <alignment/>
      <protection hidden="1"/>
    </xf>
    <xf numFmtId="0" fontId="32" fillId="0" borderId="62" xfId="48" applyFont="1" applyBorder="1" applyAlignment="1" applyProtection="1">
      <alignment horizontal="center" vertical="center" wrapText="1"/>
      <protection hidden="1"/>
    </xf>
    <xf numFmtId="4" fontId="32" fillId="0" borderId="32" xfId="48" applyNumberFormat="1" applyFont="1" applyBorder="1" applyAlignment="1" applyProtection="1">
      <alignment horizontal="center" vertical="center"/>
      <protection hidden="1"/>
    </xf>
    <xf numFmtId="9" fontId="39" fillId="2" borderId="67" xfId="15" applyNumberFormat="1" applyFont="1" applyBorder="1" applyAlignment="1" applyProtection="1">
      <alignment/>
      <protection hidden="1"/>
    </xf>
    <xf numFmtId="9" fontId="39" fillId="2" borderId="28" xfId="15" applyNumberFormat="1" applyFont="1" applyBorder="1" applyAlignment="1" applyProtection="1">
      <alignment/>
      <protection hidden="1"/>
    </xf>
    <xf numFmtId="172" fontId="31" fillId="0" borderId="34" xfId="48" applyNumberFormat="1" applyFont="1" applyBorder="1" applyAlignment="1" applyProtection="1">
      <alignment horizontal="right"/>
      <protection hidden="1"/>
    </xf>
    <xf numFmtId="0" fontId="32" fillId="0" borderId="0" xfId="48" applyFont="1" applyBorder="1" applyAlignment="1" applyProtection="1">
      <alignment horizontal="center" vertical="center"/>
      <protection hidden="1"/>
    </xf>
    <xf numFmtId="4" fontId="31" fillId="0" borderId="0" xfId="48" applyNumberFormat="1" applyFont="1" applyFill="1" applyBorder="1" applyAlignment="1" applyProtection="1">
      <alignment horizontal="right"/>
      <protection hidden="1"/>
    </xf>
    <xf numFmtId="9" fontId="31" fillId="0" borderId="0" xfId="48" applyNumberFormat="1" applyFont="1" applyFill="1" applyBorder="1" applyAlignment="1" applyProtection="1">
      <alignment horizontal="right"/>
      <protection hidden="1"/>
    </xf>
    <xf numFmtId="9" fontId="31" fillId="0" borderId="0" xfId="48" applyNumberFormat="1" applyFont="1" applyFill="1" applyBorder="1" applyAlignment="1" applyProtection="1">
      <alignment/>
      <protection hidden="1"/>
    </xf>
    <xf numFmtId="4" fontId="31" fillId="0" borderId="0" xfId="48" applyNumberFormat="1" applyFont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1" fillId="0" borderId="0" xfId="48" applyFont="1" applyAlignment="1" applyProtection="1">
      <alignment horizontal="right"/>
      <protection hidden="1"/>
    </xf>
    <xf numFmtId="172" fontId="39" fillId="2" borderId="19" xfId="15" applyNumberFormat="1" applyFont="1" applyBorder="1" applyAlignment="1" applyProtection="1">
      <alignment/>
      <protection hidden="1"/>
    </xf>
    <xf numFmtId="0" fontId="30" fillId="0" borderId="0" xfId="48" applyFont="1" applyBorder="1" applyAlignment="1" applyProtection="1">
      <alignment horizontal="center" vertical="center"/>
      <protection hidden="1"/>
    </xf>
    <xf numFmtId="0" fontId="32" fillId="0" borderId="0" xfId="48" applyFont="1" applyBorder="1" applyAlignment="1" applyProtection="1">
      <alignment/>
      <protection hidden="1"/>
    </xf>
    <xf numFmtId="4" fontId="31" fillId="0" borderId="0" xfId="48" applyNumberFormat="1" applyFont="1" applyBorder="1" applyAlignment="1" applyProtection="1">
      <alignment/>
      <protection hidden="1"/>
    </xf>
    <xf numFmtId="9" fontId="31" fillId="0" borderId="0" xfId="48" applyNumberFormat="1" applyFont="1" applyFill="1" applyBorder="1" applyAlignment="1" applyProtection="1">
      <alignment horizontal="right" vertical="center"/>
      <protection hidden="1"/>
    </xf>
    <xf numFmtId="0" fontId="30" fillId="0" borderId="0" xfId="48" applyFont="1" applyBorder="1" applyAlignment="1" applyProtection="1">
      <alignment horizontal="right" vertical="center"/>
      <protection hidden="1"/>
    </xf>
    <xf numFmtId="9" fontId="31" fillId="0" borderId="0" xfId="48" applyNumberFormat="1" applyFont="1" applyFill="1" applyBorder="1" applyAlignment="1" applyProtection="1">
      <alignment vertical="center"/>
      <protection hidden="1"/>
    </xf>
    <xf numFmtId="172" fontId="39" fillId="22" borderId="19" xfId="36" applyNumberFormat="1" applyFont="1" applyBorder="1" applyAlignment="1" applyProtection="1">
      <alignment/>
      <protection hidden="1"/>
    </xf>
    <xf numFmtId="3" fontId="34" fillId="0" borderId="0" xfId="48" applyNumberFormat="1" applyFont="1" applyFill="1" applyBorder="1" applyAlignment="1" applyProtection="1">
      <alignment horizontal="center" vertical="center"/>
      <protection hidden="1"/>
    </xf>
    <xf numFmtId="3" fontId="31" fillId="0" borderId="0" xfId="48" applyNumberFormat="1" applyFont="1" applyFill="1" applyBorder="1" applyAlignment="1" applyProtection="1">
      <alignment horizontal="center" vertical="center"/>
      <protection hidden="1"/>
    </xf>
    <xf numFmtId="0" fontId="31" fillId="0" borderId="0" xfId="48" applyFont="1" applyFill="1" applyBorder="1" applyAlignment="1" applyProtection="1">
      <alignment horizontal="center" vertical="center"/>
      <protection hidden="1"/>
    </xf>
    <xf numFmtId="0" fontId="31" fillId="0" borderId="0" xfId="48" applyFont="1" applyBorder="1" applyAlignment="1" applyProtection="1">
      <alignment horizontal="justify" vertical="center" wrapText="1"/>
      <protection hidden="1"/>
    </xf>
    <xf numFmtId="0" fontId="34" fillId="0" borderId="0" xfId="48" applyFont="1" applyBorder="1" applyAlignment="1" applyProtection="1">
      <alignment horizontal="justify" vertical="center" wrapText="1"/>
      <protection hidden="1"/>
    </xf>
    <xf numFmtId="4" fontId="34" fillId="0" borderId="0" xfId="48" applyNumberFormat="1" applyFont="1" applyBorder="1" applyAlignment="1" applyProtection="1">
      <alignment horizontal="justify" vertical="center" wrapText="1"/>
      <protection hidden="1"/>
    </xf>
    <xf numFmtId="0" fontId="31" fillId="0" borderId="35" xfId="48" applyFont="1" applyBorder="1" applyAlignment="1" applyProtection="1">
      <alignment horizontal="center" vertical="center" wrapText="1"/>
      <protection hidden="1"/>
    </xf>
    <xf numFmtId="0" fontId="31" fillId="0" borderId="68" xfId="48" applyFont="1" applyBorder="1" applyAlignment="1" applyProtection="1">
      <alignment horizontal="right" vertical="center" wrapText="1"/>
      <protection hidden="1"/>
    </xf>
    <xf numFmtId="172" fontId="39" fillId="2" borderId="69" xfId="15" applyNumberFormat="1" applyFont="1" applyBorder="1" applyAlignment="1" applyProtection="1">
      <alignment horizontal="right"/>
      <protection hidden="1"/>
    </xf>
    <xf numFmtId="0" fontId="30" fillId="0" borderId="0" xfId="48" applyFont="1" applyAlignment="1" applyProtection="1">
      <alignment horizontal="left"/>
      <protection hidden="1"/>
    </xf>
    <xf numFmtId="3" fontId="31" fillId="0" borderId="68" xfId="48" applyNumberFormat="1" applyFont="1" applyBorder="1" applyAlignment="1" applyProtection="1">
      <alignment horizontal="right"/>
      <protection hidden="1"/>
    </xf>
    <xf numFmtId="0" fontId="30" fillId="0" borderId="0" xfId="48" applyFont="1" applyBorder="1" applyAlignment="1" applyProtection="1">
      <alignment/>
      <protection hidden="1"/>
    </xf>
    <xf numFmtId="0" fontId="32" fillId="0" borderId="70" xfId="48" applyFont="1" applyBorder="1" applyAlignment="1" applyProtection="1">
      <alignment horizontal="center" vertical="center" wrapText="1"/>
      <protection hidden="1"/>
    </xf>
    <xf numFmtId="0" fontId="30" fillId="0" borderId="0" xfId="48" applyFont="1" applyAlignment="1" applyProtection="1">
      <alignment/>
      <protection hidden="1"/>
    </xf>
    <xf numFmtId="3" fontId="31" fillId="0" borderId="0" xfId="48" applyNumberFormat="1" applyFont="1" applyAlignment="1" applyProtection="1">
      <alignment horizontal="left"/>
      <protection hidden="1"/>
    </xf>
    <xf numFmtId="4" fontId="31" fillId="0" borderId="0" xfId="48" applyNumberFormat="1" applyFont="1" applyAlignment="1" applyProtection="1">
      <alignment horizontal="right"/>
      <protection hidden="1"/>
    </xf>
    <xf numFmtId="3" fontId="31" fillId="0" borderId="31" xfId="48" applyNumberFormat="1" applyFont="1" applyBorder="1" applyAlignment="1" applyProtection="1">
      <alignment/>
      <protection hidden="1"/>
    </xf>
    <xf numFmtId="0" fontId="32" fillId="0" borderId="0" xfId="48" applyFont="1" applyBorder="1" applyAlignment="1" applyProtection="1">
      <alignment horizontal="center" vertical="center" wrapText="1"/>
      <protection hidden="1"/>
    </xf>
    <xf numFmtId="173" fontId="30" fillId="0" borderId="0" xfId="48" applyNumberFormat="1" applyFont="1" applyProtection="1">
      <alignment/>
      <protection hidden="1"/>
    </xf>
    <xf numFmtId="4" fontId="31" fillId="0" borderId="0" xfId="48" applyNumberFormat="1" applyFont="1" applyProtection="1">
      <alignment/>
      <protection hidden="1"/>
    </xf>
    <xf numFmtId="4" fontId="31" fillId="0" borderId="0" xfId="48" applyNumberFormat="1" applyFont="1" applyFill="1" applyBorder="1" applyProtection="1">
      <alignment/>
      <protection hidden="1"/>
    </xf>
    <xf numFmtId="0" fontId="31" fillId="0" borderId="0" xfId="48" applyFont="1" applyFill="1" applyBorder="1" applyAlignment="1" applyProtection="1">
      <alignment horizontal="left" vertical="center"/>
      <protection hidden="1"/>
    </xf>
    <xf numFmtId="0" fontId="39" fillId="8" borderId="71" xfId="21" applyFont="1" applyBorder="1" applyAlignment="1" applyProtection="1">
      <alignment/>
      <protection hidden="1"/>
    </xf>
    <xf numFmtId="0" fontId="39" fillId="8" borderId="72" xfId="21" applyFont="1" applyBorder="1" applyAlignment="1" applyProtection="1">
      <alignment/>
      <protection hidden="1"/>
    </xf>
    <xf numFmtId="0" fontId="39" fillId="8" borderId="72" xfId="21" applyFont="1" applyBorder="1" applyAlignment="1" applyProtection="1">
      <alignment/>
      <protection hidden="1"/>
    </xf>
    <xf numFmtId="0" fontId="39" fillId="8" borderId="72" xfId="21" applyFont="1" applyBorder="1" applyAlignment="1" applyProtection="1">
      <alignment horizontal="left" vertical="center"/>
      <protection hidden="1"/>
    </xf>
    <xf numFmtId="0" fontId="39" fillId="8" borderId="73" xfId="21" applyFont="1" applyBorder="1" applyAlignment="1" applyProtection="1">
      <alignment horizontal="left" vertical="center"/>
      <protection hidden="1"/>
    </xf>
    <xf numFmtId="174" fontId="39" fillId="8" borderId="74" xfId="21" applyNumberFormat="1" applyFont="1" applyBorder="1" applyAlignment="1" applyProtection="1">
      <alignment/>
      <protection hidden="1"/>
    </xf>
    <xf numFmtId="0" fontId="39" fillId="8" borderId="75" xfId="21" applyFont="1" applyBorder="1" applyAlignment="1" applyProtection="1">
      <alignment/>
      <protection hidden="1"/>
    </xf>
    <xf numFmtId="0" fontId="39" fillId="8" borderId="76" xfId="21" applyFont="1" applyBorder="1" applyAlignment="1" applyProtection="1">
      <alignment/>
      <protection hidden="1"/>
    </xf>
    <xf numFmtId="174" fontId="39" fillId="8" borderId="76" xfId="21" applyNumberFormat="1" applyFont="1" applyBorder="1" applyAlignment="1" applyProtection="1">
      <alignment/>
      <protection hidden="1"/>
    </xf>
    <xf numFmtId="0" fontId="39" fillId="8" borderId="76" xfId="21" applyFont="1" applyBorder="1" applyAlignment="1" applyProtection="1">
      <alignment/>
      <protection hidden="1"/>
    </xf>
    <xf numFmtId="0" fontId="39" fillId="8" borderId="76" xfId="21" applyFont="1" applyBorder="1" applyAlignment="1" applyProtection="1">
      <alignment horizontal="left" vertical="center"/>
      <protection hidden="1"/>
    </xf>
    <xf numFmtId="0" fontId="39" fillId="8" borderId="77" xfId="21" applyFont="1" applyBorder="1" applyAlignment="1" applyProtection="1">
      <alignment horizontal="left" vertical="center"/>
      <protection hidden="1"/>
    </xf>
    <xf numFmtId="174" fontId="39" fillId="8" borderId="66" xfId="21" applyNumberFormat="1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2" fillId="0" borderId="0" xfId="48" applyFont="1" applyAlignment="1" applyProtection="1">
      <alignment horizontal="right"/>
      <protection hidden="1"/>
    </xf>
    <xf numFmtId="14" fontId="32" fillId="0" borderId="0" xfId="48" applyNumberFormat="1" applyFont="1" applyFill="1" applyAlignment="1" applyProtection="1">
      <alignment horizontal="left"/>
      <protection hidden="1"/>
    </xf>
    <xf numFmtId="14" fontId="32" fillId="0" borderId="0" xfId="48" applyNumberFormat="1" applyFont="1" applyProtection="1">
      <alignment/>
      <protection hidden="1"/>
    </xf>
    <xf numFmtId="0" fontId="30" fillId="0" borderId="0" xfId="47" applyFont="1" applyProtection="1">
      <alignment/>
      <protection hidden="1"/>
    </xf>
    <xf numFmtId="174" fontId="30" fillId="0" borderId="0" xfId="47" applyNumberFormat="1" applyFont="1" applyProtection="1">
      <alignment/>
      <protection hidden="1"/>
    </xf>
    <xf numFmtId="170" fontId="1" fillId="0" borderId="21" xfId="63" applyFill="1" applyBorder="1" applyAlignment="1" applyProtection="1">
      <alignment horizontal="right"/>
      <protection hidden="1"/>
    </xf>
    <xf numFmtId="170" fontId="1" fillId="0" borderId="78" xfId="63" applyBorder="1" applyAlignment="1" applyProtection="1">
      <alignment horizontal="right"/>
      <protection hidden="1"/>
    </xf>
    <xf numFmtId="170" fontId="1" fillId="0" borderId="28" xfId="63" applyFill="1" applyBorder="1" applyAlignment="1" applyProtection="1">
      <alignment horizontal="right"/>
      <protection hidden="1"/>
    </xf>
    <xf numFmtId="170" fontId="1" fillId="0" borderId="34" xfId="63" applyBorder="1" applyAlignment="1" applyProtection="1">
      <alignment horizontal="right"/>
      <protection hidden="1"/>
    </xf>
    <xf numFmtId="9" fontId="92" fillId="0" borderId="0" xfId="0" applyNumberFormat="1" applyFont="1" applyFill="1" applyBorder="1" applyAlignment="1" applyProtection="1">
      <alignment horizontal="center"/>
      <protection hidden="1"/>
    </xf>
    <xf numFmtId="9" fontId="33" fillId="23" borderId="79" xfId="37" applyNumberFormat="1" applyFont="1" applyBorder="1" applyAlignment="1" applyProtection="1">
      <alignment horizontal="center"/>
      <protection hidden="1"/>
    </xf>
    <xf numFmtId="172" fontId="39" fillId="2" borderId="31" xfId="15" applyNumberFormat="1" applyFont="1" applyBorder="1" applyAlignment="1" applyProtection="1">
      <alignment/>
      <protection locked="0"/>
    </xf>
    <xf numFmtId="4" fontId="90" fillId="2" borderId="21" xfId="15" applyNumberFormat="1" applyFont="1" applyBorder="1" applyAlignment="1" applyProtection="1">
      <alignment vertical="center" wrapText="1"/>
      <protection locked="0"/>
    </xf>
    <xf numFmtId="4" fontId="90" fillId="2" borderId="28" xfId="15" applyNumberFormat="1" applyFont="1" applyBorder="1" applyAlignment="1" applyProtection="1">
      <alignment vertical="center" wrapText="1"/>
      <protection locked="0"/>
    </xf>
    <xf numFmtId="172" fontId="90" fillId="2" borderId="21" xfId="15" applyNumberFormat="1" applyFont="1" applyBorder="1" applyAlignment="1" applyProtection="1">
      <alignment vertical="center" wrapText="1"/>
      <protection locked="0"/>
    </xf>
    <xf numFmtId="172" fontId="90" fillId="2" borderId="21" xfId="15" applyNumberFormat="1" applyFont="1" applyBorder="1" applyAlignment="1" applyProtection="1">
      <alignment/>
      <protection locked="0"/>
    </xf>
    <xf numFmtId="172" fontId="90" fillId="2" borderId="28" xfId="15" applyNumberFormat="1" applyFont="1" applyBorder="1" applyAlignment="1" applyProtection="1">
      <alignment vertical="center" wrapText="1"/>
      <protection locked="0"/>
    </xf>
    <xf numFmtId="172" fontId="90" fillId="2" borderId="28" xfId="15" applyNumberFormat="1" applyFont="1" applyBorder="1" applyAlignment="1" applyProtection="1">
      <alignment/>
      <protection locked="0"/>
    </xf>
    <xf numFmtId="3" fontId="93" fillId="0" borderId="0" xfId="48" applyNumberFormat="1" applyFont="1" applyFill="1" applyBorder="1" applyAlignment="1" applyProtection="1">
      <alignment horizontal="left"/>
      <protection hidden="1"/>
    </xf>
    <xf numFmtId="0" fontId="94" fillId="2" borderId="19" xfId="15" applyFont="1" applyBorder="1" applyAlignment="1" applyProtection="1">
      <alignment horizontal="center" vertical="center"/>
      <protection locked="0"/>
    </xf>
    <xf numFmtId="0" fontId="93" fillId="0" borderId="0" xfId="48" applyFont="1" applyProtection="1">
      <alignment/>
      <protection hidden="1"/>
    </xf>
    <xf numFmtId="0" fontId="94" fillId="2" borderId="20" xfId="15" applyFont="1" applyBorder="1" applyAlignment="1" applyProtection="1">
      <alignment horizontal="center" vertical="center"/>
      <protection locked="0"/>
    </xf>
    <xf numFmtId="170" fontId="95" fillId="22" borderId="0" xfId="63" applyFont="1" applyFill="1" applyAlignment="1" applyProtection="1">
      <alignment/>
      <protection locked="0"/>
    </xf>
    <xf numFmtId="0" fontId="33" fillId="14" borderId="49" xfId="27" applyFont="1" applyBorder="1" applyAlignment="1" applyProtection="1">
      <alignment horizontal="center"/>
      <protection hidden="1"/>
    </xf>
    <xf numFmtId="9" fontId="39" fillId="0" borderId="0" xfId="15" applyNumberFormat="1" applyFont="1" applyFill="1" applyBorder="1" applyAlignment="1" applyProtection="1">
      <alignment/>
      <protection hidden="1"/>
    </xf>
    <xf numFmtId="0" fontId="32" fillId="0" borderId="79" xfId="48" applyFont="1" applyBorder="1" applyAlignment="1" applyProtection="1">
      <alignment horizontal="center" vertical="center"/>
      <protection hidden="1"/>
    </xf>
    <xf numFmtId="9" fontId="39" fillId="0" borderId="79" xfId="15" applyNumberFormat="1" applyFont="1" applyFill="1" applyBorder="1" applyAlignment="1" applyProtection="1">
      <alignment/>
      <protection hidden="1"/>
    </xf>
    <xf numFmtId="0" fontId="30" fillId="0" borderId="79" xfId="0" applyFont="1" applyBorder="1" applyAlignment="1" applyProtection="1">
      <alignment/>
      <protection hidden="1"/>
    </xf>
    <xf numFmtId="9" fontId="33" fillId="0" borderId="0" xfId="15" applyNumberFormat="1" applyFont="1" applyFill="1" applyBorder="1" applyAlignment="1" applyProtection="1">
      <alignment/>
      <protection hidden="1"/>
    </xf>
    <xf numFmtId="0" fontId="66" fillId="23" borderId="0" xfId="37" applyFont="1" applyBorder="1" applyAlignment="1" applyProtection="1">
      <alignment/>
      <protection hidden="1"/>
    </xf>
    <xf numFmtId="0" fontId="96" fillId="14" borderId="19" xfId="27" applyFont="1" applyBorder="1" applyAlignment="1" applyProtection="1">
      <alignment/>
      <protection hidden="1"/>
    </xf>
    <xf numFmtId="0" fontId="96" fillId="22" borderId="19" xfId="36" applyFont="1" applyBorder="1" applyAlignment="1" applyProtection="1">
      <alignment/>
      <protection hidden="1"/>
    </xf>
    <xf numFmtId="9" fontId="8" fillId="0" borderId="0" xfId="49" applyNumberFormat="1" applyFont="1" applyFill="1" applyBorder="1" applyAlignment="1">
      <alignment horizontal="right" vertical="center"/>
      <protection/>
    </xf>
    <xf numFmtId="0" fontId="1" fillId="0" borderId="0" xfId="49" applyFill="1" applyBorder="1">
      <alignment/>
      <protection/>
    </xf>
    <xf numFmtId="0" fontId="8" fillId="0" borderId="0" xfId="49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vertical="center"/>
      <protection/>
    </xf>
    <xf numFmtId="0" fontId="32" fillId="0" borderId="80" xfId="48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left"/>
      <protection hidden="1"/>
    </xf>
    <xf numFmtId="4" fontId="32" fillId="0" borderId="0" xfId="48" applyNumberFormat="1" applyFont="1" applyBorder="1" applyAlignment="1" applyProtection="1">
      <alignment horizontal="center"/>
      <protection hidden="1"/>
    </xf>
    <xf numFmtId="0" fontId="35" fillId="0" borderId="0" xfId="48" applyFont="1" applyBorder="1" applyAlignment="1" applyProtection="1">
      <alignment horizontal="center"/>
      <protection hidden="1"/>
    </xf>
    <xf numFmtId="0" fontId="32" fillId="0" borderId="80" xfId="48" applyFont="1" applyBorder="1" applyAlignment="1" applyProtection="1">
      <alignment horizontal="justify" vertical="center" wrapText="1"/>
      <protection hidden="1"/>
    </xf>
    <xf numFmtId="0" fontId="32" fillId="0" borderId="30" xfId="48" applyFont="1" applyBorder="1" applyAlignment="1" applyProtection="1">
      <alignment horizontal="justify" vertical="center" wrapText="1"/>
      <protection hidden="1"/>
    </xf>
    <xf numFmtId="0" fontId="32" fillId="0" borderId="31" xfId="48" applyFont="1" applyBorder="1" applyAlignment="1" applyProtection="1">
      <alignment vertical="center" wrapText="1"/>
      <protection hidden="1"/>
    </xf>
    <xf numFmtId="170" fontId="1" fillId="2" borderId="21" xfId="63" applyFill="1" applyBorder="1" applyAlignment="1" applyProtection="1">
      <alignment horizontal="right"/>
      <protection hidden="1"/>
    </xf>
    <xf numFmtId="9" fontId="39" fillId="2" borderId="28" xfId="15" applyNumberFormat="1" applyFont="1" applyBorder="1" applyAlignment="1" applyProtection="1">
      <alignment horizontal="right"/>
      <protection hidden="1"/>
    </xf>
    <xf numFmtId="3" fontId="94" fillId="2" borderId="19" xfId="15" applyNumberFormat="1" applyFont="1" applyBorder="1" applyAlignment="1" applyProtection="1">
      <alignment horizontal="center" vertical="center"/>
      <protection locked="0"/>
    </xf>
    <xf numFmtId="0" fontId="32" fillId="0" borderId="19" xfId="48" applyFont="1" applyFill="1" applyBorder="1" applyAlignment="1" applyProtection="1">
      <alignment horizontal="justify" vertical="center" wrapText="1"/>
      <protection hidden="1"/>
    </xf>
    <xf numFmtId="0" fontId="32" fillId="0" borderId="37" xfId="48" applyFont="1" applyFill="1" applyBorder="1" applyAlignment="1" applyProtection="1">
      <alignment horizontal="center" vertical="center"/>
      <protection hidden="1"/>
    </xf>
    <xf numFmtId="172" fontId="39" fillId="2" borderId="81" xfId="15" applyNumberFormat="1" applyFont="1" applyBorder="1" applyAlignment="1" applyProtection="1">
      <alignment horizontal="right" vertical="center"/>
      <protection locked="0"/>
    </xf>
    <xf numFmtId="172" fontId="39" fillId="2" borderId="19" xfId="15" applyNumberFormat="1" applyFont="1" applyBorder="1" applyAlignment="1" applyProtection="1">
      <alignment horizontal="right"/>
      <protection hidden="1"/>
    </xf>
    <xf numFmtId="172" fontId="39" fillId="2" borderId="20" xfId="15" applyNumberFormat="1" applyFont="1" applyBorder="1" applyAlignment="1" applyProtection="1">
      <alignment horizontal="right"/>
      <protection hidden="1"/>
    </xf>
    <xf numFmtId="0" fontId="32" fillId="0" borderId="80" xfId="48" applyFont="1" applyBorder="1" applyAlignment="1" applyProtection="1">
      <alignment horizontal="center" vertical="center"/>
      <protection hidden="1"/>
    </xf>
    <xf numFmtId="0" fontId="32" fillId="0" borderId="31" xfId="48" applyFont="1" applyBorder="1" applyAlignment="1" applyProtection="1">
      <alignment horizontal="justify" vertical="center" wrapText="1"/>
      <protection hidden="1"/>
    </xf>
    <xf numFmtId="170" fontId="95" fillId="2" borderId="21" xfId="63" applyFont="1" applyFill="1" applyBorder="1" applyAlignment="1" applyProtection="1">
      <alignment horizontal="right"/>
      <protection hidden="1"/>
    </xf>
    <xf numFmtId="9" fontId="39" fillId="2" borderId="21" xfId="15" applyNumberFormat="1" applyFont="1" applyBorder="1" applyAlignment="1" applyProtection="1">
      <alignment horizontal="right"/>
      <protection locked="0"/>
    </xf>
    <xf numFmtId="0" fontId="90" fillId="2" borderId="32" xfId="15" applyFont="1" applyBorder="1" applyAlignment="1" applyProtection="1">
      <alignment vertical="center"/>
      <protection locked="0"/>
    </xf>
    <xf numFmtId="0" fontId="39" fillId="2" borderId="33" xfId="15" applyFont="1" applyBorder="1" applyAlignment="1" applyProtection="1">
      <alignment vertical="center" wrapText="1"/>
      <protection hidden="1"/>
    </xf>
    <xf numFmtId="17" fontId="90" fillId="2" borderId="34" xfId="15" applyNumberFormat="1" applyFont="1" applyBorder="1" applyAlignment="1" applyProtection="1">
      <alignment vertical="center"/>
      <protection locked="0"/>
    </xf>
    <xf numFmtId="0" fontId="32" fillId="0" borderId="80" xfId="48" applyFont="1" applyBorder="1" applyAlignment="1" applyProtection="1">
      <alignment horizontal="center" vertical="center" wrapText="1"/>
      <protection hidden="1"/>
    </xf>
    <xf numFmtId="0" fontId="31" fillId="0" borderId="31" xfId="48" applyFont="1" applyBorder="1" applyAlignment="1" applyProtection="1">
      <alignment horizontal="center"/>
      <protection hidden="1"/>
    </xf>
    <xf numFmtId="170" fontId="1" fillId="0" borderId="21" xfId="63" applyFill="1" applyBorder="1" applyAlignment="1" applyProtection="1">
      <alignment horizontal="right"/>
      <protection hidden="1"/>
    </xf>
    <xf numFmtId="170" fontId="1" fillId="0" borderId="28" xfId="63" applyFill="1" applyBorder="1" applyAlignment="1" applyProtection="1">
      <alignment horizontal="right"/>
      <protection hidden="1"/>
    </xf>
    <xf numFmtId="0" fontId="7" fillId="0" borderId="21" xfId="49" applyFont="1" applyBorder="1" applyAlignment="1">
      <alignment horizontal="justify" vertical="center" wrapText="1"/>
      <protection/>
    </xf>
    <xf numFmtId="0" fontId="7" fillId="0" borderId="21" xfId="49" applyFont="1" applyBorder="1" applyAlignment="1">
      <alignment vertical="center"/>
      <protection/>
    </xf>
    <xf numFmtId="0" fontId="7" fillId="0" borderId="36" xfId="49" applyFont="1" applyBorder="1" applyAlignment="1">
      <alignment vertical="center" wrapText="1"/>
      <protection/>
    </xf>
    <xf numFmtId="0" fontId="7" fillId="0" borderId="23" xfId="49" applyFont="1" applyBorder="1" applyAlignment="1">
      <alignment vertical="center" wrapText="1"/>
      <protection/>
    </xf>
    <xf numFmtId="0" fontId="7" fillId="0" borderId="24" xfId="49" applyFont="1" applyBorder="1" applyAlignment="1">
      <alignment vertical="center" wrapText="1"/>
      <protection/>
    </xf>
    <xf numFmtId="0" fontId="8" fillId="33" borderId="21" xfId="49" applyFont="1" applyFill="1" applyBorder="1" applyAlignment="1">
      <alignment vertical="center" wrapText="1"/>
      <protection/>
    </xf>
    <xf numFmtId="0" fontId="7" fillId="0" borderId="21" xfId="49" applyFont="1" applyBorder="1" applyAlignment="1">
      <alignment vertical="center" wrapText="1"/>
      <protection/>
    </xf>
    <xf numFmtId="0" fontId="7" fillId="0" borderId="24" xfId="49" applyFont="1" applyBorder="1" applyAlignment="1">
      <alignment horizontal="center" vertical="center" textRotation="90" wrapText="1"/>
      <protection/>
    </xf>
    <xf numFmtId="0" fontId="6" fillId="0" borderId="0" xfId="49" applyFont="1" applyBorder="1" applyAlignment="1">
      <alignment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67" fillId="2" borderId="21" xfId="15" applyBorder="1" applyAlignment="1">
      <alignment vertical="center"/>
    </xf>
    <xf numFmtId="0" fontId="5" fillId="0" borderId="21" xfId="49" applyFont="1" applyBorder="1" applyAlignment="1">
      <alignment horizontal="right" vertical="center"/>
      <protection/>
    </xf>
    <xf numFmtId="4" fontId="4" fillId="0" borderId="29" xfId="49" applyNumberFormat="1" applyFont="1" applyBorder="1" applyAlignment="1">
      <alignment horizontal="right" vertical="center"/>
      <protection/>
    </xf>
    <xf numFmtId="0" fontId="4" fillId="0" borderId="19" xfId="49" applyFont="1" applyFill="1" applyBorder="1" applyAlignment="1">
      <alignment horizontal="center" vertical="center"/>
      <protection/>
    </xf>
    <xf numFmtId="0" fontId="67" fillId="2" borderId="82" xfId="15" applyBorder="1" applyAlignment="1">
      <alignment horizontal="left" vertical="center"/>
    </xf>
    <xf numFmtId="0" fontId="5" fillId="0" borderId="21" xfId="49" applyFont="1" applyBorder="1" applyAlignment="1">
      <alignment horizontal="center" vertical="center" wrapText="1"/>
      <protection/>
    </xf>
    <xf numFmtId="0" fontId="96" fillId="8" borderId="37" xfId="21" applyFont="1" applyBorder="1" applyAlignment="1" applyProtection="1">
      <alignment horizontal="right" vertical="center"/>
      <protection hidden="1"/>
    </xf>
    <xf numFmtId="0" fontId="96" fillId="8" borderId="83" xfId="21" applyFont="1" applyBorder="1" applyAlignment="1" applyProtection="1">
      <alignment horizontal="right" vertical="center"/>
      <protection hidden="1"/>
    </xf>
    <xf numFmtId="0" fontId="84" fillId="36" borderId="14" xfId="0" applyFont="1" applyFill="1" applyBorder="1" applyAlignment="1" applyProtection="1">
      <alignment/>
      <protection hidden="1"/>
    </xf>
    <xf numFmtId="0" fontId="36" fillId="0" borderId="14" xfId="0" applyFont="1" applyFill="1" applyBorder="1" applyAlignment="1" applyProtection="1">
      <alignment/>
      <protection hidden="1"/>
    </xf>
    <xf numFmtId="0" fontId="33" fillId="0" borderId="14" xfId="0" applyFont="1" applyFill="1" applyBorder="1" applyAlignment="1" applyProtection="1">
      <alignment/>
      <protection hidden="1"/>
    </xf>
    <xf numFmtId="3" fontId="33" fillId="0" borderId="15" xfId="0" applyNumberFormat="1" applyFont="1" applyFill="1" applyBorder="1" applyAlignment="1" applyProtection="1">
      <alignment/>
      <protection hidden="1"/>
    </xf>
    <xf numFmtId="0" fontId="33" fillId="36" borderId="0" xfId="0" applyFont="1" applyFill="1" applyBorder="1" applyAlignment="1" applyProtection="1">
      <alignment/>
      <protection hidden="1"/>
    </xf>
    <xf numFmtId="0" fontId="36" fillId="36" borderId="0" xfId="0" applyFont="1" applyFill="1" applyBorder="1" applyAlignment="1" applyProtection="1">
      <alignment/>
      <protection hidden="1"/>
    </xf>
    <xf numFmtId="3" fontId="36" fillId="36" borderId="0" xfId="0" applyNumberFormat="1" applyFont="1" applyFill="1" applyBorder="1" applyAlignment="1" applyProtection="1">
      <alignment/>
      <protection hidden="1"/>
    </xf>
    <xf numFmtId="0" fontId="84" fillId="0" borderId="18" xfId="0" applyFont="1" applyFill="1" applyBorder="1" applyAlignment="1" applyProtection="1">
      <alignment/>
      <protection hidden="1"/>
    </xf>
    <xf numFmtId="0" fontId="84" fillId="0" borderId="21" xfId="0" applyFont="1" applyFill="1" applyBorder="1" applyAlignment="1" applyProtection="1">
      <alignment/>
      <protection hidden="1"/>
    </xf>
    <xf numFmtId="0" fontId="84" fillId="0" borderId="25" xfId="0" applyFont="1" applyFill="1" applyBorder="1" applyAlignment="1" applyProtection="1">
      <alignment/>
      <protection hidden="1"/>
    </xf>
    <xf numFmtId="0" fontId="86" fillId="0" borderId="21" xfId="0" applyFont="1" applyFill="1" applyBorder="1" applyAlignment="1" applyProtection="1">
      <alignment/>
      <protection hidden="1"/>
    </xf>
    <xf numFmtId="49" fontId="33" fillId="0" borderId="21" xfId="0" applyNumberFormat="1" applyFont="1" applyFill="1" applyBorder="1" applyAlignment="1" applyProtection="1">
      <alignment horizontal="center" vertical="center"/>
      <protection hidden="1"/>
    </xf>
    <xf numFmtId="0" fontId="36" fillId="0" borderId="21" xfId="0" applyFont="1" applyFill="1" applyBorder="1" applyAlignment="1" applyProtection="1">
      <alignment horizontal="center" wrapText="1"/>
      <protection hidden="1"/>
    </xf>
    <xf numFmtId="0" fontId="33" fillId="0" borderId="21" xfId="0" applyFont="1" applyFill="1" applyBorder="1" applyAlignment="1" applyProtection="1">
      <alignment horizontal="center"/>
      <protection hidden="1"/>
    </xf>
    <xf numFmtId="0" fontId="33" fillId="14" borderId="49" xfId="27" applyFont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7" fillId="8" borderId="61" xfId="21" applyFont="1" applyBorder="1" applyAlignment="1" applyProtection="1">
      <alignment horizontal="center" vertical="center" wrapText="1"/>
      <protection hidden="1"/>
    </xf>
    <xf numFmtId="0" fontId="37" fillId="8" borderId="49" xfId="21" applyFont="1" applyBorder="1" applyAlignment="1" applyProtection="1">
      <alignment horizontal="center" vertical="center" wrapText="1"/>
      <protection hidden="1"/>
    </xf>
    <xf numFmtId="0" fontId="33" fillId="8" borderId="61" xfId="21" applyFont="1" applyBorder="1" applyAlignment="1" applyProtection="1">
      <alignment horizontal="center" vertical="center" wrapText="1"/>
      <protection hidden="1"/>
    </xf>
    <xf numFmtId="0" fontId="33" fillId="8" borderId="49" xfId="21" applyFont="1" applyBorder="1" applyAlignment="1" applyProtection="1">
      <alignment horizontal="center" vertical="center" wrapText="1"/>
      <protection hidden="1"/>
    </xf>
    <xf numFmtId="0" fontId="84" fillId="0" borderId="21" xfId="0" applyFont="1" applyFill="1" applyBorder="1" applyAlignment="1" applyProtection="1">
      <alignment horizontal="center" vertical="center" wrapText="1"/>
      <protection hidden="1"/>
    </xf>
    <xf numFmtId="0" fontId="33" fillId="14" borderId="49" xfId="27" applyFont="1" applyBorder="1" applyAlignment="1" applyProtection="1">
      <alignment horizontal="center" vertical="top" wrapText="1"/>
      <protection hidden="1"/>
    </xf>
    <xf numFmtId="0" fontId="86" fillId="0" borderId="0" xfId="0" applyFont="1" applyBorder="1" applyAlignment="1" applyProtection="1">
      <alignment horizontal="left" wrapText="1"/>
      <protection hidden="1"/>
    </xf>
    <xf numFmtId="0" fontId="86" fillId="0" borderId="17" xfId="0" applyFont="1" applyBorder="1" applyAlignment="1" applyProtection="1">
      <alignment horizontal="left" wrapText="1"/>
      <protection hidden="1"/>
    </xf>
    <xf numFmtId="0" fontId="33" fillId="8" borderId="59" xfId="21" applyFont="1" applyBorder="1" applyAlignment="1" applyProtection="1">
      <alignment horizontal="center" vertical="center" wrapText="1"/>
      <protection hidden="1"/>
    </xf>
    <xf numFmtId="0" fontId="33" fillId="8" borderId="84" xfId="21" applyFont="1" applyBorder="1" applyAlignment="1" applyProtection="1">
      <alignment horizontal="center" vertical="center" wrapText="1"/>
      <protection hidden="1"/>
    </xf>
    <xf numFmtId="0" fontId="33" fillId="8" borderId="61" xfId="21" applyFont="1" applyBorder="1" applyAlignment="1" applyProtection="1">
      <alignment horizontal="center" vertical="center"/>
      <protection hidden="1"/>
    </xf>
    <xf numFmtId="0" fontId="33" fillId="8" borderId="49" xfId="21" applyFont="1" applyBorder="1" applyAlignment="1" applyProtection="1">
      <alignment horizontal="center" vertical="center"/>
      <protection hidden="1"/>
    </xf>
    <xf numFmtId="0" fontId="33" fillId="8" borderId="21" xfId="21" applyFont="1" applyBorder="1" applyAlignment="1" applyProtection="1">
      <alignment horizontal="center" vertical="center" wrapText="1"/>
      <protection hidden="1"/>
    </xf>
    <xf numFmtId="49" fontId="33" fillId="8" borderId="61" xfId="21" applyNumberFormat="1" applyFont="1" applyBorder="1" applyAlignment="1" applyProtection="1">
      <alignment horizontal="center" vertical="center"/>
      <protection hidden="1"/>
    </xf>
    <xf numFmtId="49" fontId="33" fillId="8" borderId="49" xfId="21" applyNumberFormat="1" applyFont="1" applyBorder="1" applyAlignment="1" applyProtection="1">
      <alignment horizontal="center" vertical="center"/>
      <protection hidden="1"/>
    </xf>
    <xf numFmtId="0" fontId="37" fillId="8" borderId="85" xfId="21" applyFont="1" applyBorder="1" applyAlignment="1" applyProtection="1">
      <alignment horizontal="center" vertical="center" wrapText="1"/>
      <protection hidden="1"/>
    </xf>
    <xf numFmtId="0" fontId="37" fillId="8" borderId="29" xfId="2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2" fontId="23" fillId="0" borderId="2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3" fillId="37" borderId="32" xfId="48" applyFont="1" applyFill="1" applyBorder="1" applyAlignment="1" applyProtection="1">
      <alignment vertical="center"/>
      <protection locked="0"/>
    </xf>
    <xf numFmtId="0" fontId="3" fillId="0" borderId="33" xfId="48" applyFont="1" applyBorder="1" applyAlignment="1" applyProtection="1">
      <alignment vertical="center" wrapText="1"/>
      <protection locked="0"/>
    </xf>
    <xf numFmtId="17" fontId="3" fillId="37" borderId="34" xfId="48" applyNumberFormat="1" applyFont="1" applyFill="1" applyBorder="1" applyAlignment="1" applyProtection="1">
      <alignment vertical="center"/>
      <protection locked="0"/>
    </xf>
    <xf numFmtId="14" fontId="9" fillId="0" borderId="0" xfId="0" applyNumberFormat="1" applyFont="1" applyBorder="1" applyAlignment="1">
      <alignment horizontal="center" vertical="center"/>
    </xf>
    <xf numFmtId="0" fontId="84" fillId="7" borderId="0" xfId="0" applyFont="1" applyFill="1" applyBorder="1" applyAlignment="1" applyProtection="1">
      <alignment horizontal="left"/>
      <protection hidden="1"/>
    </xf>
    <xf numFmtId="0" fontId="36" fillId="7" borderId="0" xfId="0" applyFont="1" applyFill="1" applyBorder="1" applyAlignment="1" applyProtection="1">
      <alignment horizontal="left"/>
      <protection hidden="1"/>
    </xf>
    <xf numFmtId="4" fontId="85" fillId="7" borderId="21" xfId="20" applyNumberFormat="1" applyFont="1" applyBorder="1" applyAlignment="1" applyProtection="1">
      <alignment horizontal="center"/>
      <protection hidden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Foglio1" xfId="47"/>
    <cellStyle name="Normale_Oneri Vicopisano" xfId="48"/>
    <cellStyle name="Normale_Tabelle_2009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F1DD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0DD"/>
      <rgbColor rgb="00CCFFCC"/>
      <rgbColor rgb="00FFFF99"/>
      <rgbColor rgb="0099CCFF"/>
      <rgbColor rgb="00FF99CC"/>
      <rgbColor rgb="00CC99FF"/>
      <rgbColor rgb="00D6E2BC"/>
      <rgbColor rgb="003366FF"/>
      <rgbColor rgb="0069FFFF"/>
      <rgbColor rgb="0099CC00"/>
      <rgbColor rgb="00FFCC00"/>
      <rgbColor rgb="00FF9900"/>
      <rgbColor rgb="00FF6600"/>
      <rgbColor rgb="00666699"/>
      <rgbColor rgb="00C1D69A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64"/>
  <sheetViews>
    <sheetView zoomScale="85" zoomScaleNormal="85" zoomScalePageLayoutView="0" workbookViewId="0" topLeftCell="A1">
      <selection activeCell="P50" sqref="P50"/>
    </sheetView>
  </sheetViews>
  <sheetFormatPr defaultColWidth="9.140625" defaultRowHeight="12.75"/>
  <cols>
    <col min="1" max="1" width="2.8515625" style="292" customWidth="1"/>
    <col min="2" max="2" width="3.28125" style="292" customWidth="1"/>
    <col min="3" max="5" width="9.140625" style="292" customWidth="1"/>
    <col min="6" max="6" width="11.7109375" style="292" customWidth="1"/>
    <col min="7" max="7" width="12.8515625" style="292" customWidth="1"/>
    <col min="8" max="8" width="10.7109375" style="292" customWidth="1"/>
    <col min="9" max="10" width="6.00390625" style="292" customWidth="1"/>
    <col min="11" max="11" width="11.7109375" style="292" customWidth="1"/>
    <col min="12" max="16384" width="9.140625" style="292" customWidth="1"/>
  </cols>
  <sheetData>
    <row r="1" spans="1:14" ht="15.75">
      <c r="A1" s="291"/>
      <c r="C1" s="291"/>
      <c r="D1" s="291"/>
      <c r="E1" s="293" t="s">
        <v>343</v>
      </c>
      <c r="F1" s="291"/>
      <c r="G1" s="291"/>
      <c r="H1" s="291"/>
      <c r="I1" s="291"/>
      <c r="J1" s="291"/>
      <c r="K1" s="294"/>
      <c r="N1" s="293" t="s">
        <v>356</v>
      </c>
    </row>
    <row r="2" spans="1:11" ht="6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4"/>
    </row>
    <row r="3" spans="1:14" ht="15">
      <c r="A3" s="291"/>
      <c r="B3" s="295" t="s">
        <v>0</v>
      </c>
      <c r="C3" s="296"/>
      <c r="D3" s="297"/>
      <c r="E3" s="425" t="s">
        <v>351</v>
      </c>
      <c r="F3" s="425"/>
      <c r="G3" s="425"/>
      <c r="H3" s="425"/>
      <c r="I3" s="425"/>
      <c r="J3" s="425"/>
      <c r="K3" s="425"/>
      <c r="M3" s="397"/>
      <c r="N3" s="292" t="s">
        <v>357</v>
      </c>
    </row>
    <row r="4" spans="1:14" ht="13.5" customHeight="1" thickBot="1">
      <c r="A4" s="291"/>
      <c r="B4" s="426" t="s">
        <v>1</v>
      </c>
      <c r="C4" s="426"/>
      <c r="D4" s="426"/>
      <c r="E4" s="427" t="s">
        <v>352</v>
      </c>
      <c r="F4" s="427"/>
      <c r="G4" s="427"/>
      <c r="H4" s="427"/>
      <c r="I4" s="427"/>
      <c r="J4" s="427"/>
      <c r="K4" s="427"/>
      <c r="M4" s="397"/>
      <c r="N4" s="292" t="s">
        <v>358</v>
      </c>
    </row>
    <row r="5" spans="1:11" ht="4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4"/>
    </row>
    <row r="6" spans="1:11" ht="13.5" thickBot="1">
      <c r="A6" s="291"/>
      <c r="B6" s="298" t="s">
        <v>2</v>
      </c>
      <c r="C6" s="291"/>
      <c r="D6" s="291"/>
      <c r="E6" s="291"/>
      <c r="F6" s="291"/>
      <c r="G6" s="291"/>
      <c r="H6" s="291"/>
      <c r="I6" s="291"/>
      <c r="J6" s="291"/>
      <c r="K6" s="294"/>
    </row>
    <row r="7" spans="1:14" ht="12.75" customHeight="1" thickBot="1">
      <c r="A7" s="291"/>
      <c r="B7" s="428" t="s">
        <v>3</v>
      </c>
      <c r="C7" s="412" t="s">
        <v>4</v>
      </c>
      <c r="D7" s="412"/>
      <c r="E7" s="299" t="s">
        <v>5</v>
      </c>
      <c r="F7" s="299" t="s">
        <v>6</v>
      </c>
      <c r="G7" s="300" t="s">
        <v>7</v>
      </c>
      <c r="H7" s="301" t="s">
        <v>8</v>
      </c>
      <c r="I7" s="429" t="s">
        <v>9</v>
      </c>
      <c r="J7" s="429"/>
      <c r="K7" s="302" t="s">
        <v>10</v>
      </c>
      <c r="M7" s="395" t="s">
        <v>5</v>
      </c>
      <c r="N7" s="292" t="s">
        <v>359</v>
      </c>
    </row>
    <row r="8" spans="1:14" ht="12.75" customHeight="1" thickBot="1">
      <c r="A8" s="291"/>
      <c r="B8" s="428"/>
      <c r="C8" s="303"/>
      <c r="D8" s="304"/>
      <c r="E8" s="382">
        <v>0</v>
      </c>
      <c r="F8" s="384">
        <v>0</v>
      </c>
      <c r="G8" s="385">
        <v>0</v>
      </c>
      <c r="H8" s="375">
        <f>IF(E8=0,"",IF(E8&gt;0,E8*F8))</f>
      </c>
      <c r="I8" s="430">
        <f>IF(E8=0,"",IF(E8&gt;0,E8*G8))</f>
      </c>
      <c r="J8" s="430"/>
      <c r="K8" s="376">
        <f>IF(E8=0,"",IF(E8&gt;0,H8+I8))</f>
      </c>
      <c r="M8" s="395" t="s">
        <v>6</v>
      </c>
      <c r="N8" s="292" t="s">
        <v>360</v>
      </c>
    </row>
    <row r="9" spans="1:14" ht="15" thickBot="1">
      <c r="A9" s="291"/>
      <c r="B9" s="428"/>
      <c r="C9" s="303"/>
      <c r="D9" s="304"/>
      <c r="E9" s="382">
        <v>0</v>
      </c>
      <c r="F9" s="384">
        <v>0</v>
      </c>
      <c r="G9" s="385">
        <v>0</v>
      </c>
      <c r="H9" s="375">
        <f>IF(E9=0,"",IF(E9&gt;0,E9*F9))</f>
      </c>
      <c r="I9" s="430">
        <f>IF(E9=0,"",IF(E9&gt;0,E9*G9))</f>
      </c>
      <c r="J9" s="430"/>
      <c r="K9" s="376">
        <f>IF(E9=0,"",IF(E9&gt;0,H9+I9))</f>
      </c>
      <c r="M9" s="395" t="s">
        <v>7</v>
      </c>
      <c r="N9" s="292" t="s">
        <v>360</v>
      </c>
    </row>
    <row r="10" spans="1:11" ht="12.75" customHeight="1" thickBot="1">
      <c r="A10" s="291"/>
      <c r="B10" s="428"/>
      <c r="C10" s="303"/>
      <c r="D10" s="304"/>
      <c r="E10" s="382">
        <v>0</v>
      </c>
      <c r="F10" s="384">
        <v>0</v>
      </c>
      <c r="G10" s="385">
        <v>0</v>
      </c>
      <c r="H10" s="375">
        <f>IF(E10=0,"",IF(E10&gt;0,E10*F10))</f>
      </c>
      <c r="I10" s="430">
        <f>IF(E10=0,"",IF(E10&gt;0,E10*G10))</f>
      </c>
      <c r="J10" s="430"/>
      <c r="K10" s="376"/>
    </row>
    <row r="11" spans="1:11" ht="15" thickBot="1">
      <c r="A11" s="291"/>
      <c r="B11" s="428"/>
      <c r="C11" s="305"/>
      <c r="D11" s="306"/>
      <c r="E11" s="383">
        <v>0</v>
      </c>
      <c r="F11" s="386">
        <v>0</v>
      </c>
      <c r="G11" s="387">
        <v>0</v>
      </c>
      <c r="H11" s="377"/>
      <c r="I11" s="431">
        <f>IF(E11=0,"",IF(E11&gt;0,E11*G11))</f>
      </c>
      <c r="J11" s="431"/>
      <c r="K11" s="378">
        <f>IF(E11=0,"",IF(E11&gt;0,H11+I11))</f>
      </c>
    </row>
    <row r="12" spans="1:11" ht="9" customHeight="1" thickBot="1">
      <c r="A12" s="291"/>
      <c r="B12" s="307"/>
      <c r="C12" s="307"/>
      <c r="D12" s="307"/>
      <c r="E12" s="308"/>
      <c r="F12" s="308"/>
      <c r="G12" s="308"/>
      <c r="H12" s="309"/>
      <c r="I12" s="309"/>
      <c r="J12" s="309"/>
      <c r="K12" s="308"/>
    </row>
    <row r="13" spans="1:11" ht="15.75" thickBot="1">
      <c r="A13" s="291"/>
      <c r="B13" s="307"/>
      <c r="C13" s="307"/>
      <c r="D13" s="307"/>
      <c r="E13" s="308"/>
      <c r="F13" s="310"/>
      <c r="G13" s="310" t="s">
        <v>11</v>
      </c>
      <c r="H13" s="311">
        <f>SUM(H8:H11)</f>
        <v>0</v>
      </c>
      <c r="I13" s="419">
        <f>SUM(I8:J11)</f>
        <v>0</v>
      </c>
      <c r="J13" s="420"/>
      <c r="K13" s="312">
        <f>SUM(K8:K11)</f>
        <v>0</v>
      </c>
    </row>
    <row r="14" spans="1:11" ht="6.75" customHeight="1" thickBot="1">
      <c r="A14" s="291"/>
      <c r="B14" s="307"/>
      <c r="C14" s="307"/>
      <c r="D14" s="307"/>
      <c r="E14" s="307"/>
      <c r="F14" s="307"/>
      <c r="G14" s="307"/>
      <c r="H14" s="307"/>
      <c r="I14" s="307"/>
      <c r="J14" s="307"/>
      <c r="K14" s="313"/>
    </row>
    <row r="15" spans="1:11" ht="32.25" customHeight="1" thickBot="1">
      <c r="A15" s="291"/>
      <c r="B15" s="421" t="s">
        <v>12</v>
      </c>
      <c r="C15" s="422" t="s">
        <v>355</v>
      </c>
      <c r="D15" s="422"/>
      <c r="E15" s="422"/>
      <c r="F15" s="422"/>
      <c r="G15" s="422" t="s">
        <v>13</v>
      </c>
      <c r="H15" s="422"/>
      <c r="I15" s="422"/>
      <c r="J15" s="314" t="s">
        <v>14</v>
      </c>
      <c r="K15" s="315" t="s">
        <v>15</v>
      </c>
    </row>
    <row r="16" spans="1:15" ht="15.75" thickBot="1">
      <c r="A16" s="291"/>
      <c r="B16" s="421"/>
      <c r="C16" s="423" t="e">
        <f>SUM('Calcolo Costo Costr. UNITA'' 1'!D59)</f>
        <v>#DIV/0!</v>
      </c>
      <c r="D16" s="423"/>
      <c r="E16" s="423"/>
      <c r="F16" s="423"/>
      <c r="G16" s="424">
        <v>0</v>
      </c>
      <c r="H16" s="424"/>
      <c r="I16" s="424"/>
      <c r="J16" s="316">
        <v>1</v>
      </c>
      <c r="K16" s="376">
        <f>IF(G16=0,"",IF(G16&gt;0,C16*G16*J16))</f>
      </c>
      <c r="M16" s="396">
        <v>0</v>
      </c>
      <c r="N16" s="398" t="s">
        <v>361</v>
      </c>
      <c r="O16" s="394"/>
    </row>
    <row r="17" spans="1:11" ht="15.75" thickBot="1">
      <c r="A17" s="291"/>
      <c r="B17" s="421"/>
      <c r="C17" s="423" t="e">
        <f>SUM('Calcolo Costo Costr. UNITA'' 2'!D59)</f>
        <v>#DIV/0!</v>
      </c>
      <c r="D17" s="423"/>
      <c r="E17" s="423"/>
      <c r="F17" s="423"/>
      <c r="G17" s="424">
        <v>0</v>
      </c>
      <c r="H17" s="424"/>
      <c r="I17" s="424"/>
      <c r="J17" s="316">
        <v>1</v>
      </c>
      <c r="K17" s="376">
        <f>IF(G17=0,"",IF(G17&gt;0,C17*G17*J17))</f>
      </c>
    </row>
    <row r="18" spans="1:11" ht="15.75" thickBot="1">
      <c r="A18" s="291"/>
      <c r="B18" s="421"/>
      <c r="C18" s="423" t="e">
        <f>SUM('Calcolo Costo Costr. UNITA'' 3'!D59)</f>
        <v>#DIV/0!</v>
      </c>
      <c r="D18" s="423"/>
      <c r="E18" s="423"/>
      <c r="F18" s="423"/>
      <c r="G18" s="424">
        <v>0</v>
      </c>
      <c r="H18" s="424"/>
      <c r="I18" s="424"/>
      <c r="J18" s="316">
        <v>1</v>
      </c>
      <c r="K18" s="376">
        <f>IF(G18=0,"",IF(G18&gt;0,C18*G18*J18))</f>
      </c>
    </row>
    <row r="19" spans="1:11" ht="15.75" thickBot="1">
      <c r="A19" s="291"/>
      <c r="B19" s="421"/>
      <c r="C19" s="413"/>
      <c r="D19" s="413"/>
      <c r="E19" s="413"/>
      <c r="F19" s="413"/>
      <c r="G19" s="414"/>
      <c r="H19" s="414"/>
      <c r="I19" s="414"/>
      <c r="J19" s="317">
        <v>1</v>
      </c>
      <c r="K19" s="318">
        <f>IF(G19=0,"",IF(G19&gt;0,C19*G19*J19))</f>
      </c>
    </row>
    <row r="20" spans="1:11" ht="6" customHeight="1" thickBot="1">
      <c r="A20" s="291"/>
      <c r="B20" s="319"/>
      <c r="C20" s="320"/>
      <c r="D20" s="320"/>
      <c r="E20" s="320"/>
      <c r="F20" s="320"/>
      <c r="G20" s="321"/>
      <c r="H20" s="321"/>
      <c r="I20" s="321"/>
      <c r="J20" s="322"/>
      <c r="K20" s="323"/>
    </row>
    <row r="21" spans="1:11" ht="12.75" customHeight="1" thickBot="1">
      <c r="A21" s="291"/>
      <c r="B21" s="319"/>
      <c r="C21" s="320"/>
      <c r="D21" s="320"/>
      <c r="E21" s="320"/>
      <c r="F21" s="320"/>
      <c r="I21" s="324"/>
      <c r="J21" s="325" t="s">
        <v>16</v>
      </c>
      <c r="K21" s="326">
        <f>IF(SUM(K16:K19)&gt;0,SUM(K16:K19),0)</f>
        <v>0</v>
      </c>
    </row>
    <row r="22" spans="1:11" ht="3" customHeight="1">
      <c r="A22" s="291"/>
      <c r="B22" s="319"/>
      <c r="C22" s="320"/>
      <c r="D22" s="320"/>
      <c r="E22" s="320"/>
      <c r="F22" s="320"/>
      <c r="G22" s="321"/>
      <c r="H22" s="321"/>
      <c r="I22" s="321"/>
      <c r="J22" s="322"/>
      <c r="K22" s="323"/>
    </row>
    <row r="23" spans="1:11" ht="3.75" customHeight="1" thickBot="1">
      <c r="A23" s="291"/>
      <c r="B23" s="327"/>
      <c r="C23" s="328"/>
      <c r="D23" s="320"/>
      <c r="E23" s="320"/>
      <c r="F23" s="329"/>
      <c r="G23" s="330"/>
      <c r="H23" s="331"/>
      <c r="I23" s="331"/>
      <c r="J23" s="332"/>
      <c r="K23" s="323"/>
    </row>
    <row r="24" spans="1:11" ht="12.75" customHeight="1" thickBot="1">
      <c r="A24" s="291"/>
      <c r="B24" s="388" t="s">
        <v>354</v>
      </c>
      <c r="C24" s="307"/>
      <c r="D24" s="307"/>
      <c r="E24" s="307"/>
      <c r="F24" s="307"/>
      <c r="G24" s="298"/>
      <c r="H24" s="298"/>
      <c r="I24" s="298"/>
      <c r="J24" s="325" t="s">
        <v>17</v>
      </c>
      <c r="K24" s="333">
        <f>IF(K13+K21&gt;0,K13+K21,0)</f>
        <v>0</v>
      </c>
    </row>
    <row r="25" spans="1:11" ht="13.5" thickBot="1">
      <c r="A25" s="291"/>
      <c r="B25" s="388" t="s">
        <v>18</v>
      </c>
      <c r="C25" s="334"/>
      <c r="D25" s="335"/>
      <c r="E25" s="336"/>
      <c r="F25" s="335"/>
      <c r="G25" s="337"/>
      <c r="H25" s="338"/>
      <c r="I25" s="338"/>
      <c r="J25" s="338"/>
      <c r="K25" s="339"/>
    </row>
    <row r="26" spans="1:11" ht="12.75" customHeight="1" thickBot="1">
      <c r="A26" s="291"/>
      <c r="B26" s="415">
        <v>0</v>
      </c>
      <c r="C26" s="416" t="s">
        <v>19</v>
      </c>
      <c r="D26" s="416"/>
      <c r="E26" s="416"/>
      <c r="F26" s="416"/>
      <c r="G26" s="417" t="s">
        <v>20</v>
      </c>
      <c r="H26" s="417"/>
      <c r="I26" s="338"/>
      <c r="J26" s="338"/>
      <c r="K26" s="339"/>
    </row>
    <row r="27" spans="1:11" ht="32.25" customHeight="1" thickBot="1">
      <c r="A27" s="291"/>
      <c r="B27" s="415"/>
      <c r="C27" s="416"/>
      <c r="D27" s="416"/>
      <c r="E27" s="416"/>
      <c r="F27" s="416"/>
      <c r="G27" s="418"/>
      <c r="H27" s="418"/>
      <c r="I27" s="340" t="s">
        <v>21</v>
      </c>
      <c r="J27" s="341"/>
      <c r="K27" s="342">
        <f>G27*2</f>
        <v>0</v>
      </c>
    </row>
    <row r="28" spans="1:11" ht="13.5" thickBot="1">
      <c r="A28" s="291"/>
      <c r="B28" s="388" t="s">
        <v>22</v>
      </c>
      <c r="C28" s="291"/>
      <c r="D28" s="291"/>
      <c r="E28" s="291"/>
      <c r="F28" s="291"/>
      <c r="G28" s="291"/>
      <c r="H28" s="291"/>
      <c r="I28" s="291"/>
      <c r="J28" s="343"/>
      <c r="K28" s="294"/>
    </row>
    <row r="29" spans="1:11" ht="24.75" customHeight="1" thickBot="1">
      <c r="A29" s="291"/>
      <c r="B29" s="389">
        <v>0</v>
      </c>
      <c r="C29" s="410" t="s">
        <v>23</v>
      </c>
      <c r="D29" s="410"/>
      <c r="E29" s="410"/>
      <c r="F29" s="410"/>
      <c r="G29" s="410"/>
      <c r="H29" s="410"/>
      <c r="I29" s="410"/>
      <c r="J29" s="344"/>
      <c r="K29" s="342">
        <f>IF(AND(B29="X",K24&lt;1000),1000,IF(AND(B29="X",K24&gt;=1000),K24,0))</f>
        <v>0</v>
      </c>
    </row>
    <row r="30" spans="1:11" ht="14.25" customHeight="1" thickBot="1">
      <c r="A30" s="291"/>
      <c r="B30" s="388" t="s">
        <v>24</v>
      </c>
      <c r="C30" s="345"/>
      <c r="D30" s="345"/>
      <c r="E30" s="345"/>
      <c r="F30" s="345"/>
      <c r="G30" s="346"/>
      <c r="H30" s="347"/>
      <c r="I30" s="347"/>
      <c r="J30" s="348"/>
      <c r="K30" s="349"/>
    </row>
    <row r="31" spans="1:11" ht="26.25" customHeight="1" thickBot="1">
      <c r="A31" s="291"/>
      <c r="B31" s="389">
        <v>0</v>
      </c>
      <c r="C31" s="406" t="s">
        <v>25</v>
      </c>
      <c r="D31" s="406"/>
      <c r="E31" s="406"/>
      <c r="F31" s="406"/>
      <c r="G31" s="406"/>
      <c r="H31" s="406"/>
      <c r="I31" s="406"/>
      <c r="J31" s="344"/>
      <c r="K31" s="342">
        <f>IF(B31="X",1500,0)</f>
        <v>0</v>
      </c>
    </row>
    <row r="32" spans="1:11" ht="13.5" thickBot="1">
      <c r="A32" s="291"/>
      <c r="B32" s="390" t="s">
        <v>26</v>
      </c>
      <c r="C32" s="291"/>
      <c r="D32" s="291"/>
      <c r="E32" s="291"/>
      <c r="F32" s="291"/>
      <c r="G32" s="291"/>
      <c r="H32" s="291"/>
      <c r="I32" s="291"/>
      <c r="J32" s="291"/>
      <c r="K32" s="294"/>
    </row>
    <row r="33" spans="1:11" ht="33.75" customHeight="1" thickBot="1">
      <c r="A33" s="291"/>
      <c r="B33" s="391">
        <v>0</v>
      </c>
      <c r="C33" s="411" t="s">
        <v>27</v>
      </c>
      <c r="D33" s="411"/>
      <c r="E33" s="411"/>
      <c r="F33" s="411"/>
      <c r="G33" s="381"/>
      <c r="H33" s="412" t="s">
        <v>28</v>
      </c>
      <c r="I33" s="412"/>
      <c r="J33" s="350"/>
      <c r="K33" s="342">
        <f>IF(B33="X",1500,0)</f>
        <v>0</v>
      </c>
    </row>
    <row r="34" spans="1:11" ht="12" customHeight="1" thickBot="1">
      <c r="A34" s="291"/>
      <c r="B34" s="388" t="s">
        <v>29</v>
      </c>
      <c r="C34" s="345"/>
      <c r="D34" s="345"/>
      <c r="E34" s="345"/>
      <c r="F34" s="345"/>
      <c r="G34" s="346"/>
      <c r="H34" s="347"/>
      <c r="I34" s="347"/>
      <c r="J34" s="348"/>
      <c r="K34" s="349"/>
    </row>
    <row r="35" spans="1:11" ht="24.75" customHeight="1" thickBot="1">
      <c r="A35" s="291"/>
      <c r="B35" s="389">
        <v>0</v>
      </c>
      <c r="C35" s="406" t="s">
        <v>30</v>
      </c>
      <c r="D35" s="406"/>
      <c r="E35" s="406"/>
      <c r="F35" s="406"/>
      <c r="G35" s="406"/>
      <c r="H35" s="406"/>
      <c r="I35" s="406"/>
      <c r="J35" s="344"/>
      <c r="K35" s="342">
        <f>IF(B35="X",516.321,0)</f>
        <v>0</v>
      </c>
    </row>
    <row r="36" spans="1:11" ht="14.25" customHeight="1" thickBot="1">
      <c r="A36" s="291"/>
      <c r="B36" s="388" t="s">
        <v>31</v>
      </c>
      <c r="C36" s="345"/>
      <c r="D36" s="345"/>
      <c r="E36" s="345"/>
      <c r="F36" s="345"/>
      <c r="G36" s="346"/>
      <c r="H36" s="347"/>
      <c r="I36" s="347"/>
      <c r="J36" s="348"/>
      <c r="K36" s="349"/>
    </row>
    <row r="37" spans="1:11" ht="27" customHeight="1" thickBot="1">
      <c r="A37" s="291"/>
      <c r="B37" s="389">
        <v>0</v>
      </c>
      <c r="C37" s="406" t="s">
        <v>32</v>
      </c>
      <c r="D37" s="406"/>
      <c r="E37" s="406"/>
      <c r="F37" s="406"/>
      <c r="G37" s="406"/>
      <c r="H37" s="406"/>
      <c r="I37" s="406"/>
      <c r="J37" s="344"/>
      <c r="K37" s="342">
        <f>IF(B37="X",100,0)</f>
        <v>0</v>
      </c>
    </row>
    <row r="38" spans="1:11" ht="14.25" customHeight="1" thickBot="1">
      <c r="A38" s="291"/>
      <c r="B38" s="388" t="s">
        <v>33</v>
      </c>
      <c r="C38" s="345"/>
      <c r="D38" s="345"/>
      <c r="E38" s="345"/>
      <c r="F38" s="345"/>
      <c r="G38" s="346"/>
      <c r="H38" s="347"/>
      <c r="I38" s="347"/>
      <c r="J38" s="348"/>
      <c r="K38" s="349"/>
    </row>
    <row r="39" spans="1:11" ht="27" customHeight="1" thickBot="1">
      <c r="A39" s="291"/>
      <c r="B39" s="389">
        <v>0</v>
      </c>
      <c r="C39" s="406" t="s">
        <v>34</v>
      </c>
      <c r="D39" s="406"/>
      <c r="E39" s="406"/>
      <c r="F39" s="406"/>
      <c r="G39" s="406"/>
      <c r="H39" s="406"/>
      <c r="I39" s="406"/>
      <c r="J39" s="344"/>
      <c r="K39" s="342">
        <f>IF(B39="X",100,0)</f>
        <v>0</v>
      </c>
    </row>
    <row r="40" spans="1:11" ht="6.75" customHeight="1" thickBot="1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4"/>
    </row>
    <row r="41" spans="1:11" ht="12" customHeight="1" thickBot="1">
      <c r="A41" s="291"/>
      <c r="B41" s="291"/>
      <c r="C41" s="291"/>
      <c r="D41" s="291"/>
      <c r="E41" s="291"/>
      <c r="F41" s="291"/>
      <c r="G41" s="291"/>
      <c r="H41" s="291"/>
      <c r="I41" s="325" t="s">
        <v>35</v>
      </c>
      <c r="J41" s="298" t="s">
        <v>15</v>
      </c>
      <c r="K41" s="333">
        <f>SUM(K27:K39)</f>
        <v>0</v>
      </c>
    </row>
    <row r="42" spans="1:11" ht="6.75" customHeight="1" thickBot="1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4"/>
    </row>
    <row r="43" spans="1:11" ht="15.75" thickBot="1">
      <c r="A43" s="291"/>
      <c r="B43" s="291"/>
      <c r="C43" s="291"/>
      <c r="D43" s="291"/>
      <c r="E43" s="291"/>
      <c r="F43" s="291"/>
      <c r="G43" s="291"/>
      <c r="H43" s="347"/>
      <c r="I43" s="325" t="s">
        <v>36</v>
      </c>
      <c r="J43" s="298" t="s">
        <v>15</v>
      </c>
      <c r="K43" s="326">
        <v>0</v>
      </c>
    </row>
    <row r="44" spans="1:11" ht="5.25" customHeight="1">
      <c r="A44" s="291"/>
      <c r="B44" s="291"/>
      <c r="C44" s="319"/>
      <c r="D44" s="319"/>
      <c r="E44" s="351"/>
      <c r="F44" s="291"/>
      <c r="G44" s="291"/>
      <c r="H44" s="291"/>
      <c r="I44" s="291"/>
      <c r="J44" s="291"/>
      <c r="K44" s="294"/>
    </row>
    <row r="45" spans="1:11" ht="10.5" customHeight="1" thickBot="1">
      <c r="A45" s="291"/>
      <c r="B45" s="291"/>
      <c r="C45" s="307"/>
      <c r="D45" s="291"/>
      <c r="E45" s="291"/>
      <c r="F45" s="352"/>
      <c r="G45" s="291"/>
      <c r="H45" s="291"/>
      <c r="I45" s="291"/>
      <c r="J45" s="325"/>
      <c r="K45" s="353"/>
    </row>
    <row r="46" spans="1:11" ht="15.75" thickBot="1">
      <c r="A46" s="291"/>
      <c r="B46" s="291"/>
      <c r="C46" s="291"/>
      <c r="D46" s="291"/>
      <c r="E46" s="291"/>
      <c r="F46" s="291"/>
      <c r="G46" s="291"/>
      <c r="H46" s="291"/>
      <c r="I46" s="325" t="s">
        <v>37</v>
      </c>
      <c r="J46" s="298" t="s">
        <v>15</v>
      </c>
      <c r="K46" s="333">
        <f>IF(K41=0,K24-K43,IF(K41&gt;0,(K24+K41-K43)))</f>
        <v>0</v>
      </c>
    </row>
    <row r="47" spans="1:11" ht="6.75" customHeight="1">
      <c r="A47" s="291"/>
      <c r="B47" s="291"/>
      <c r="C47" s="291"/>
      <c r="D47" s="291"/>
      <c r="E47" s="291"/>
      <c r="F47" s="291"/>
      <c r="G47" s="291"/>
      <c r="H47" s="291"/>
      <c r="I47" s="325"/>
      <c r="J47" s="298"/>
      <c r="K47" s="354"/>
    </row>
    <row r="48" spans="1:11" ht="13.5" thickBot="1">
      <c r="A48" s="291"/>
      <c r="B48" s="407" t="s">
        <v>38</v>
      </c>
      <c r="C48" s="407"/>
      <c r="D48" s="407"/>
      <c r="E48" s="407"/>
      <c r="F48" s="407"/>
      <c r="G48" s="407"/>
      <c r="H48" s="407"/>
      <c r="I48" s="407"/>
      <c r="J48" s="407"/>
      <c r="K48" s="355"/>
    </row>
    <row r="49" spans="1:11" ht="15.75" thickBot="1">
      <c r="A49" s="291"/>
      <c r="B49" s="356" t="s">
        <v>344</v>
      </c>
      <c r="C49" s="357"/>
      <c r="D49" s="357"/>
      <c r="E49" s="357"/>
      <c r="F49" s="358"/>
      <c r="G49" s="358"/>
      <c r="H49" s="359"/>
      <c r="I49" s="359"/>
      <c r="J49" s="360"/>
      <c r="K49" s="361">
        <f>(K13/4)+(K21/2)</f>
        <v>0</v>
      </c>
    </row>
    <row r="50" spans="1:11" ht="15.75" thickBot="1">
      <c r="A50" s="291"/>
      <c r="B50" s="362" t="s">
        <v>345</v>
      </c>
      <c r="C50" s="363"/>
      <c r="D50" s="363"/>
      <c r="E50" s="363"/>
      <c r="F50" s="364"/>
      <c r="G50" s="365"/>
      <c r="H50" s="366"/>
      <c r="I50" s="366"/>
      <c r="J50" s="367"/>
      <c r="K50" s="361">
        <f>(K13/4)</f>
        <v>0</v>
      </c>
    </row>
    <row r="51" spans="1:11" ht="15.75" thickBot="1">
      <c r="A51" s="291"/>
      <c r="B51" s="362" t="s">
        <v>345</v>
      </c>
      <c r="C51" s="363"/>
      <c r="D51" s="363"/>
      <c r="E51" s="363"/>
      <c r="F51" s="364"/>
      <c r="G51" s="365"/>
      <c r="H51" s="366"/>
      <c r="I51" s="366"/>
      <c r="J51" s="367"/>
      <c r="K51" s="361">
        <f>(K13/4)</f>
        <v>0</v>
      </c>
    </row>
    <row r="52" spans="1:11" ht="15.75" thickBot="1">
      <c r="A52" s="291"/>
      <c r="B52" s="362" t="s">
        <v>344</v>
      </c>
      <c r="C52" s="363"/>
      <c r="D52" s="363"/>
      <c r="E52" s="363"/>
      <c r="F52" s="364"/>
      <c r="G52" s="365"/>
      <c r="H52" s="366"/>
      <c r="I52" s="366"/>
      <c r="J52" s="366"/>
      <c r="K52" s="368">
        <f>(K13/4)+(K21/2)</f>
        <v>0</v>
      </c>
    </row>
    <row r="53" spans="1:11" ht="8.25" customHeight="1">
      <c r="A53" s="291"/>
      <c r="B53" s="355"/>
      <c r="C53" s="355"/>
      <c r="D53" s="355"/>
      <c r="E53" s="355"/>
      <c r="F53" s="355"/>
      <c r="G53" s="355"/>
      <c r="H53" s="355"/>
      <c r="I53" s="355"/>
      <c r="J53" s="355"/>
      <c r="K53" s="355"/>
    </row>
    <row r="54" spans="1:15" ht="15">
      <c r="A54" s="291"/>
      <c r="B54" s="369" t="s">
        <v>347</v>
      </c>
      <c r="C54" s="369"/>
      <c r="D54" s="369"/>
      <c r="E54" s="369"/>
      <c r="F54" s="369"/>
      <c r="G54" s="369"/>
      <c r="H54" s="369"/>
      <c r="I54" s="369"/>
      <c r="J54" s="369" t="s">
        <v>39</v>
      </c>
      <c r="K54" s="392">
        <v>0</v>
      </c>
      <c r="M54" s="396"/>
      <c r="N54" s="394" t="s">
        <v>362</v>
      </c>
      <c r="O54" s="394"/>
    </row>
    <row r="55" spans="1:11" ht="7.5" customHeight="1">
      <c r="A55" s="291"/>
      <c r="C55" s="370"/>
      <c r="D55" s="371"/>
      <c r="E55" s="291"/>
      <c r="F55" s="291"/>
      <c r="G55" s="291"/>
      <c r="H55" s="291"/>
      <c r="I55" s="325"/>
      <c r="J55" s="298"/>
      <c r="K55" s="294"/>
    </row>
    <row r="56" spans="1:11" ht="12.75">
      <c r="A56" s="291"/>
      <c r="B56" s="343"/>
      <c r="C56" s="307"/>
      <c r="D56" s="372"/>
      <c r="E56" s="307"/>
      <c r="F56" s="408"/>
      <c r="G56" s="408"/>
      <c r="H56" s="408"/>
      <c r="I56" s="408"/>
      <c r="J56" s="408"/>
      <c r="K56" s="408"/>
    </row>
    <row r="57" spans="1:11" ht="12.75">
      <c r="A57" s="291"/>
      <c r="B57" s="307"/>
      <c r="C57" s="307"/>
      <c r="D57" s="307"/>
      <c r="E57" s="307"/>
      <c r="F57" s="409"/>
      <c r="G57" s="409"/>
      <c r="H57" s="409"/>
      <c r="I57" s="409"/>
      <c r="J57" s="409"/>
      <c r="K57" s="409"/>
    </row>
    <row r="58" spans="1:11" ht="12.7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</row>
    <row r="59" spans="1:11" ht="12.7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4"/>
    </row>
    <row r="60" spans="1:11" ht="12.75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</row>
    <row r="61" spans="1:11" ht="12.75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373"/>
    </row>
    <row r="62" spans="1:11" ht="12.75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</row>
    <row r="63" spans="1:11" ht="12.7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</row>
    <row r="64" spans="1:11" ht="12.7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</row>
  </sheetData>
  <sheetProtection/>
  <mergeCells count="36">
    <mergeCell ref="E3:K3"/>
    <mergeCell ref="B4:D4"/>
    <mergeCell ref="E4:K4"/>
    <mergeCell ref="B7:B11"/>
    <mergeCell ref="C7:D7"/>
    <mergeCell ref="I7:J7"/>
    <mergeCell ref="I8:J8"/>
    <mergeCell ref="I9:J9"/>
    <mergeCell ref="I10:J10"/>
    <mergeCell ref="I11:J11"/>
    <mergeCell ref="I13:J13"/>
    <mergeCell ref="B15:B19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B26:B27"/>
    <mergeCell ref="C26:F27"/>
    <mergeCell ref="G26:H26"/>
    <mergeCell ref="G27:H27"/>
    <mergeCell ref="C39:I39"/>
    <mergeCell ref="B48:J48"/>
    <mergeCell ref="F56:K56"/>
    <mergeCell ref="F57:K57"/>
    <mergeCell ref="C29:I29"/>
    <mergeCell ref="C31:I31"/>
    <mergeCell ref="C33:F33"/>
    <mergeCell ref="H33:I33"/>
    <mergeCell ref="C35:I35"/>
    <mergeCell ref="C37:I37"/>
  </mergeCells>
  <printOptions/>
  <pageMargins left="0.6298611111111111" right="0.39375" top="0.393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2:AB129"/>
  <sheetViews>
    <sheetView zoomScalePageLayoutView="0" workbookViewId="0" topLeftCell="A1">
      <selection activeCell="D133" sqref="D133"/>
    </sheetView>
  </sheetViews>
  <sheetFormatPr defaultColWidth="9.140625" defaultRowHeight="12.75"/>
  <cols>
    <col min="1" max="1" width="7.28125" style="5" customWidth="1"/>
    <col min="2" max="2" width="4.421875" style="5" customWidth="1"/>
    <col min="3" max="3" width="5.00390625" style="5" customWidth="1"/>
    <col min="4" max="4" width="5.7109375" style="5" customWidth="1"/>
    <col min="5" max="8" width="4.57421875" style="5" customWidth="1"/>
    <col min="9" max="9" width="6.421875" style="5" customWidth="1"/>
    <col min="10" max="10" width="11.57421875" style="5" customWidth="1"/>
    <col min="11" max="11" width="7.7109375" style="5" customWidth="1"/>
    <col min="12" max="12" width="12.00390625" style="5" customWidth="1"/>
    <col min="13" max="13" width="8.8515625" style="5" customWidth="1"/>
    <col min="14" max="14" width="7.421875" style="5" customWidth="1"/>
    <col min="15" max="16384" width="9.140625" style="5" customWidth="1"/>
  </cols>
  <sheetData>
    <row r="2" spans="1:13" ht="89.25" customHeight="1">
      <c r="A2" s="441" t="s">
        <v>147</v>
      </c>
      <c r="B2" s="441"/>
      <c r="C2" s="441"/>
      <c r="D2" s="441"/>
      <c r="E2" s="441"/>
      <c r="F2" s="441"/>
      <c r="G2" s="441"/>
      <c r="H2" s="441"/>
      <c r="I2" s="441"/>
      <c r="J2" s="441"/>
      <c r="K2" s="6"/>
      <c r="L2" s="6"/>
      <c r="M2" s="6"/>
    </row>
    <row r="3" ht="8.25" customHeight="1"/>
    <row r="4" spans="1:13" ht="30" customHeight="1">
      <c r="A4" s="442" t="s">
        <v>148</v>
      </c>
      <c r="B4" s="442"/>
      <c r="C4" s="442"/>
      <c r="D4" s="442"/>
      <c r="E4" s="442"/>
      <c r="F4" s="442"/>
      <c r="G4" s="442"/>
      <c r="H4" s="442"/>
      <c r="I4" s="442"/>
      <c r="J4" s="442"/>
      <c r="K4" s="443" t="s">
        <v>149</v>
      </c>
      <c r="L4" s="443"/>
      <c r="M4" s="443"/>
    </row>
    <row r="5" spans="1:13" ht="12.75" customHeight="1">
      <c r="A5" s="8" t="s">
        <v>363</v>
      </c>
      <c r="B5" s="9"/>
      <c r="C5" s="9"/>
      <c r="D5" s="9"/>
      <c r="E5" s="9"/>
      <c r="F5" s="9"/>
      <c r="G5" s="9"/>
      <c r="H5" s="9"/>
      <c r="I5" s="9"/>
      <c r="J5" s="10"/>
      <c r="K5" s="444">
        <v>280.72</v>
      </c>
      <c r="L5" s="444"/>
      <c r="M5" s="444"/>
    </row>
    <row r="6" spans="1:13" ht="8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</row>
    <row r="7" spans="1:13" ht="18" customHeight="1">
      <c r="A7" s="445" t="s">
        <v>150</v>
      </c>
      <c r="B7" s="446" t="s">
        <v>151</v>
      </c>
      <c r="C7" s="446"/>
      <c r="D7" s="446"/>
      <c r="E7" s="446"/>
      <c r="F7" s="446"/>
      <c r="G7" s="446"/>
      <c r="H7" s="446"/>
      <c r="I7" s="446"/>
      <c r="J7" s="446"/>
      <c r="K7" s="447" t="s">
        <v>152</v>
      </c>
      <c r="L7" s="447"/>
      <c r="M7" s="447"/>
    </row>
    <row r="8" spans="1:13" ht="34.5" customHeight="1">
      <c r="A8" s="445"/>
      <c r="B8" s="446"/>
      <c r="C8" s="446"/>
      <c r="D8" s="446"/>
      <c r="E8" s="446"/>
      <c r="F8" s="446"/>
      <c r="G8" s="446"/>
      <c r="H8" s="446"/>
      <c r="I8" s="446"/>
      <c r="J8" s="446"/>
      <c r="K8" s="447"/>
      <c r="L8" s="447"/>
      <c r="M8" s="447"/>
    </row>
    <row r="9" spans="1:13" ht="15" customHeight="1">
      <c r="A9" s="439" t="s">
        <v>153</v>
      </c>
      <c r="B9" s="433" t="s">
        <v>154</v>
      </c>
      <c r="C9" s="433"/>
      <c r="D9" s="433"/>
      <c r="E9" s="433"/>
      <c r="F9" s="433"/>
      <c r="G9" s="433"/>
      <c r="H9" s="433"/>
      <c r="I9" s="433"/>
      <c r="J9" s="433"/>
      <c r="K9" s="440" t="s">
        <v>155</v>
      </c>
      <c r="L9" s="440"/>
      <c r="M9" s="162">
        <v>0.09</v>
      </c>
    </row>
    <row r="10" spans="1:13" ht="15.75" customHeight="1">
      <c r="A10" s="439"/>
      <c r="B10" s="433" t="s">
        <v>156</v>
      </c>
      <c r="C10" s="433"/>
      <c r="D10" s="433"/>
      <c r="E10" s="433"/>
      <c r="F10" s="433"/>
      <c r="G10" s="433"/>
      <c r="H10" s="433"/>
      <c r="I10" s="433"/>
      <c r="J10" s="433"/>
      <c r="K10" s="440"/>
      <c r="L10" s="440"/>
      <c r="M10" s="162">
        <v>0.08</v>
      </c>
    </row>
    <row r="11" spans="1:13" ht="15" customHeight="1">
      <c r="A11" s="439"/>
      <c r="B11" s="433" t="s">
        <v>157</v>
      </c>
      <c r="C11" s="433"/>
      <c r="D11" s="433"/>
      <c r="E11" s="433"/>
      <c r="F11" s="433"/>
      <c r="G11" s="433"/>
      <c r="H11" s="433"/>
      <c r="I11" s="433"/>
      <c r="J11" s="433"/>
      <c r="K11" s="440"/>
      <c r="L11" s="440"/>
      <c r="M11" s="162">
        <v>0.08</v>
      </c>
    </row>
    <row r="12" spans="1:16" ht="15" customHeight="1">
      <c r="A12" s="439"/>
      <c r="B12" s="433" t="s">
        <v>158</v>
      </c>
      <c r="C12" s="433"/>
      <c r="D12" s="433"/>
      <c r="E12" s="433"/>
      <c r="F12" s="433"/>
      <c r="G12" s="433"/>
      <c r="H12" s="433"/>
      <c r="I12" s="433"/>
      <c r="J12" s="433"/>
      <c r="K12" s="440"/>
      <c r="L12" s="440"/>
      <c r="M12" s="162">
        <v>0.07</v>
      </c>
      <c r="P12" s="14"/>
    </row>
    <row r="13" spans="1:13" ht="15" customHeight="1">
      <c r="A13" s="439"/>
      <c r="B13" s="433" t="s">
        <v>159</v>
      </c>
      <c r="C13" s="433"/>
      <c r="D13" s="433"/>
      <c r="E13" s="433"/>
      <c r="F13" s="433"/>
      <c r="G13" s="433"/>
      <c r="H13" s="433"/>
      <c r="I13" s="433"/>
      <c r="J13" s="433"/>
      <c r="K13" s="440"/>
      <c r="L13" s="440"/>
      <c r="M13" s="163">
        <v>0.07</v>
      </c>
    </row>
    <row r="14" spans="1:13" ht="23.25" customHeight="1">
      <c r="A14" s="433" t="s">
        <v>160</v>
      </c>
      <c r="B14" s="433"/>
      <c r="C14" s="433"/>
      <c r="D14" s="433"/>
      <c r="E14" s="433"/>
      <c r="F14" s="433"/>
      <c r="G14" s="433"/>
      <c r="H14" s="433"/>
      <c r="I14" s="433"/>
      <c r="J14" s="433"/>
      <c r="K14" s="164"/>
      <c r="L14" s="165"/>
      <c r="M14" s="166">
        <v>0.1</v>
      </c>
    </row>
    <row r="15" spans="1:13" ht="8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2"/>
      <c r="L15" s="16"/>
      <c r="M15" s="17"/>
    </row>
    <row r="16" spans="1:13" ht="14.25" customHeight="1">
      <c r="A16" s="434" t="s">
        <v>161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</row>
    <row r="17" spans="1:13" ht="36.75" customHeight="1">
      <c r="A17" s="435" t="s">
        <v>162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</row>
    <row r="18" spans="1:13" ht="12.75" customHeight="1">
      <c r="A18" s="18" t="s">
        <v>163</v>
      </c>
      <c r="B18" s="19"/>
      <c r="C18" s="20"/>
      <c r="D18" s="21"/>
      <c r="E18" s="22"/>
      <c r="F18" s="20"/>
      <c r="G18" s="20"/>
      <c r="H18" s="20"/>
      <c r="I18" s="20"/>
      <c r="J18" s="20"/>
      <c r="K18" s="20"/>
      <c r="L18" s="20"/>
      <c r="M18" s="23"/>
    </row>
    <row r="19" spans="1:13" ht="12.75" customHeight="1">
      <c r="A19" s="24" t="s">
        <v>164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29"/>
      <c r="M19" s="30"/>
    </row>
    <row r="20" spans="1:13" ht="5.25" customHeight="1">
      <c r="A20" s="31"/>
      <c r="B20" s="31"/>
      <c r="C20" s="32"/>
      <c r="D20" s="33"/>
      <c r="E20" s="34"/>
      <c r="F20" s="35"/>
      <c r="G20" s="35"/>
      <c r="H20" s="35"/>
      <c r="I20" s="35"/>
      <c r="J20" s="35"/>
      <c r="K20" s="35"/>
      <c r="L20" s="35"/>
      <c r="M20" s="35"/>
    </row>
    <row r="21" spans="1:13" ht="27.75" customHeight="1">
      <c r="A21" s="436" t="s">
        <v>165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3" ht="12.75">
      <c r="A22" s="36"/>
      <c r="B22" s="36"/>
      <c r="C22" s="37"/>
      <c r="D22" s="38"/>
      <c r="E22" s="39"/>
      <c r="F22" s="7"/>
      <c r="G22" s="7"/>
      <c r="H22" s="7"/>
      <c r="I22" s="7"/>
      <c r="J22" s="7"/>
      <c r="K22" s="7"/>
      <c r="L22" s="7"/>
      <c r="M22" s="40"/>
    </row>
    <row r="23" spans="1:17" s="41" customFormat="1" ht="30" customHeight="1">
      <c r="A23" s="42" t="s">
        <v>166</v>
      </c>
      <c r="B23" s="167" t="s">
        <v>167</v>
      </c>
      <c r="C23" s="167"/>
      <c r="D23" s="167"/>
      <c r="E23" s="167"/>
      <c r="F23" s="167"/>
      <c r="G23" s="167"/>
      <c r="H23" s="167"/>
      <c r="I23" s="167"/>
      <c r="J23" s="167"/>
      <c r="K23" s="168"/>
      <c r="L23" s="169"/>
      <c r="M23" s="170" t="s">
        <v>168</v>
      </c>
      <c r="N23" s="5"/>
      <c r="O23" s="5"/>
      <c r="P23" s="5"/>
      <c r="Q23" s="5"/>
    </row>
    <row r="24" spans="1:13" ht="13.5" thickBot="1">
      <c r="A24" s="43"/>
      <c r="B24" s="20"/>
      <c r="C24" s="20"/>
      <c r="D24" s="44"/>
      <c r="E24" s="44"/>
      <c r="F24" s="45"/>
      <c r="G24" s="45"/>
      <c r="H24" s="45"/>
      <c r="I24" s="45"/>
      <c r="J24" s="45"/>
      <c r="K24" s="45"/>
      <c r="L24" s="45"/>
      <c r="M24" s="46"/>
    </row>
    <row r="25" spans="1:13" ht="30" customHeight="1" thickBot="1">
      <c r="A25" s="47" t="s">
        <v>169</v>
      </c>
      <c r="B25" s="437" t="s">
        <v>364</v>
      </c>
      <c r="C25" s="437"/>
      <c r="D25" s="437"/>
      <c r="E25" s="437"/>
      <c r="F25" s="437"/>
      <c r="G25" s="437"/>
      <c r="H25" s="437"/>
      <c r="I25" s="437"/>
      <c r="J25" s="438" t="s">
        <v>170</v>
      </c>
      <c r="K25" s="438"/>
      <c r="L25" s="438"/>
      <c r="M25" s="48">
        <v>0.05</v>
      </c>
    </row>
    <row r="26" spans="1:28" ht="30" customHeight="1" thickBot="1">
      <c r="A26" s="47" t="s">
        <v>365</v>
      </c>
      <c r="B26" s="437" t="s">
        <v>364</v>
      </c>
      <c r="C26" s="437"/>
      <c r="D26" s="437"/>
      <c r="E26" s="437"/>
      <c r="F26" s="437"/>
      <c r="G26" s="437"/>
      <c r="H26" s="437"/>
      <c r="I26" s="437"/>
      <c r="J26" s="438" t="s">
        <v>170</v>
      </c>
      <c r="K26" s="438"/>
      <c r="L26" s="438"/>
      <c r="M26" s="48">
        <v>0.1</v>
      </c>
      <c r="P26" s="404"/>
      <c r="Q26" s="404"/>
      <c r="R26" s="404"/>
      <c r="S26" s="404"/>
      <c r="T26" s="404"/>
      <c r="U26" s="404"/>
      <c r="V26" s="404"/>
      <c r="W26" s="404"/>
      <c r="X26" s="405"/>
      <c r="Y26" s="405"/>
      <c r="Z26" s="405"/>
      <c r="AA26" s="402"/>
      <c r="AB26" s="403"/>
    </row>
    <row r="27" spans="1:13" ht="30" customHeight="1" thickBot="1">
      <c r="A27" s="47"/>
      <c r="B27" s="437" t="s">
        <v>366</v>
      </c>
      <c r="C27" s="437"/>
      <c r="D27" s="437"/>
      <c r="E27" s="437"/>
      <c r="F27" s="437"/>
      <c r="G27" s="437"/>
      <c r="H27" s="437"/>
      <c r="I27" s="437"/>
      <c r="J27" s="438" t="s">
        <v>170</v>
      </c>
      <c r="K27" s="438"/>
      <c r="L27" s="438"/>
      <c r="M27" s="48">
        <v>0.15</v>
      </c>
    </row>
    <row r="28" spans="1:15" ht="12.75">
      <c r="A28" s="45"/>
      <c r="B28" s="45"/>
      <c r="C28" s="20"/>
      <c r="D28" s="20"/>
      <c r="E28" s="20"/>
      <c r="F28" s="45"/>
      <c r="G28" s="45"/>
      <c r="H28" s="45"/>
      <c r="I28" s="45"/>
      <c r="J28" s="45"/>
      <c r="K28" s="45"/>
      <c r="L28" s="45"/>
      <c r="M28" s="45"/>
      <c r="O28" s="49"/>
    </row>
    <row r="29" spans="1:13" ht="51" customHeight="1">
      <c r="A29" s="432" t="s">
        <v>171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</row>
    <row r="30" spans="1:13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8" ht="15" customHeight="1">
      <c r="A31" s="51" t="s">
        <v>172</v>
      </c>
      <c r="B31" s="51"/>
      <c r="C31" s="51"/>
      <c r="D31" s="51"/>
      <c r="E31" s="51"/>
      <c r="F31" s="51"/>
      <c r="G31" s="51"/>
      <c r="H31" s="51"/>
    </row>
    <row r="32" spans="1:8" ht="15" customHeight="1">
      <c r="A32" s="51" t="s">
        <v>173</v>
      </c>
      <c r="B32" s="51"/>
      <c r="C32" s="51"/>
      <c r="D32" s="51"/>
      <c r="E32" s="51"/>
      <c r="F32" s="52"/>
      <c r="G32" s="52"/>
      <c r="H32" s="52"/>
    </row>
    <row r="33" spans="1:8" ht="15" customHeight="1">
      <c r="A33" s="51"/>
      <c r="B33" s="51"/>
      <c r="C33" s="51"/>
      <c r="D33" s="51"/>
      <c r="E33" s="51"/>
      <c r="F33" s="52"/>
      <c r="G33" s="52"/>
      <c r="H33" s="52"/>
    </row>
    <row r="34" spans="1:8" ht="15" customHeight="1">
      <c r="A34" s="51" t="s">
        <v>174</v>
      </c>
      <c r="B34" s="52"/>
      <c r="C34" s="52"/>
      <c r="D34" s="52"/>
      <c r="E34" s="52"/>
      <c r="F34" s="52"/>
      <c r="G34" s="52"/>
      <c r="H34" s="52"/>
    </row>
    <row r="35" spans="1:8" ht="15" customHeight="1">
      <c r="A35" s="52" t="s">
        <v>175</v>
      </c>
      <c r="B35" s="52"/>
      <c r="C35" s="52"/>
      <c r="D35" s="52"/>
      <c r="E35" s="52"/>
      <c r="F35" s="52"/>
      <c r="G35" s="52"/>
      <c r="H35" s="52"/>
    </row>
    <row r="36" spans="1:8" ht="15" customHeight="1">
      <c r="A36" s="52" t="s">
        <v>176</v>
      </c>
      <c r="B36" s="52"/>
      <c r="C36" s="52"/>
      <c r="D36" s="52"/>
      <c r="E36" s="52"/>
      <c r="F36" s="52"/>
      <c r="G36" s="52"/>
      <c r="H36" s="52"/>
    </row>
    <row r="37" spans="1:8" ht="15" customHeight="1">
      <c r="A37" s="52" t="s">
        <v>177</v>
      </c>
      <c r="B37" s="52"/>
      <c r="C37" s="52"/>
      <c r="D37" s="52"/>
      <c r="E37" s="52"/>
      <c r="F37" s="52"/>
      <c r="G37" s="52"/>
      <c r="H37" s="52"/>
    </row>
    <row r="38" spans="1:8" ht="15" customHeight="1">
      <c r="A38" s="51" t="s">
        <v>178</v>
      </c>
      <c r="B38" s="52"/>
      <c r="C38" s="52"/>
      <c r="D38" s="52"/>
      <c r="E38" s="52"/>
      <c r="F38" s="52"/>
      <c r="G38" s="52"/>
      <c r="H38" s="52"/>
    </row>
    <row r="39" spans="1:8" ht="15" customHeight="1">
      <c r="A39" s="52" t="s">
        <v>179</v>
      </c>
      <c r="B39" s="52"/>
      <c r="C39" s="52"/>
      <c r="D39" s="52"/>
      <c r="E39" s="52"/>
      <c r="F39" s="52"/>
      <c r="G39" s="52"/>
      <c r="H39" s="52"/>
    </row>
    <row r="40" spans="1:8" ht="15" customHeight="1">
      <c r="A40" s="52" t="s">
        <v>180</v>
      </c>
      <c r="B40" s="52"/>
      <c r="C40" s="52"/>
      <c r="D40" s="52"/>
      <c r="E40" s="52"/>
      <c r="F40" s="52"/>
      <c r="G40" s="52"/>
      <c r="H40" s="52"/>
    </row>
    <row r="41" spans="1:8" ht="15" customHeight="1">
      <c r="A41" s="52" t="s">
        <v>181</v>
      </c>
      <c r="B41" s="52"/>
      <c r="C41" s="52"/>
      <c r="D41" s="52"/>
      <c r="E41" s="52"/>
      <c r="F41" s="52"/>
      <c r="G41" s="52"/>
      <c r="H41" s="52"/>
    </row>
    <row r="42" spans="1:8" ht="15" customHeight="1">
      <c r="A42" s="52" t="s">
        <v>182</v>
      </c>
      <c r="B42" s="52"/>
      <c r="C42" s="52"/>
      <c r="D42" s="52"/>
      <c r="E42" s="52"/>
      <c r="F42" s="52"/>
      <c r="G42" s="52"/>
      <c r="H42" s="52"/>
    </row>
    <row r="43" spans="1:8" ht="15" customHeight="1">
      <c r="A43" s="51" t="s">
        <v>183</v>
      </c>
      <c r="B43" s="52"/>
      <c r="C43" s="52"/>
      <c r="D43" s="52"/>
      <c r="E43" s="52"/>
      <c r="F43" s="52"/>
      <c r="G43" s="52"/>
      <c r="H43" s="52"/>
    </row>
    <row r="44" spans="1:8" ht="15" customHeight="1">
      <c r="A44" s="52" t="s">
        <v>184</v>
      </c>
      <c r="B44" s="52"/>
      <c r="C44" s="52"/>
      <c r="D44" s="52"/>
      <c r="E44" s="52"/>
      <c r="F44" s="52"/>
      <c r="G44" s="52"/>
      <c r="H44" s="52"/>
    </row>
    <row r="45" spans="1:8" ht="15" customHeight="1">
      <c r="A45" s="52" t="s">
        <v>185</v>
      </c>
      <c r="B45" s="52"/>
      <c r="C45" s="52"/>
      <c r="D45" s="52"/>
      <c r="E45" s="52"/>
      <c r="F45" s="52"/>
      <c r="G45" s="52"/>
      <c r="H45" s="52"/>
    </row>
    <row r="46" spans="1:8" ht="15" customHeight="1">
      <c r="A46" s="52" t="s">
        <v>186</v>
      </c>
      <c r="B46" s="52"/>
      <c r="C46" s="52"/>
      <c r="D46" s="52"/>
      <c r="E46" s="52"/>
      <c r="F46" s="52"/>
      <c r="G46" s="52"/>
      <c r="H46" s="52"/>
    </row>
    <row r="47" spans="1:8" ht="15" customHeight="1">
      <c r="A47" s="51" t="s">
        <v>187</v>
      </c>
      <c r="B47" s="52"/>
      <c r="C47" s="52"/>
      <c r="D47" s="52"/>
      <c r="E47" s="52"/>
      <c r="F47" s="52"/>
      <c r="G47" s="52"/>
      <c r="H47" s="52"/>
    </row>
    <row r="48" spans="1:8" ht="15" customHeight="1">
      <c r="A48" s="52" t="s">
        <v>188</v>
      </c>
      <c r="B48" s="52"/>
      <c r="C48" s="52"/>
      <c r="D48" s="52"/>
      <c r="E48" s="52"/>
      <c r="F48" s="52"/>
      <c r="G48" s="52"/>
      <c r="H48" s="52"/>
    </row>
    <row r="49" spans="1:8" ht="15" customHeight="1">
      <c r="A49" s="52" t="s">
        <v>189</v>
      </c>
      <c r="B49" s="52"/>
      <c r="C49" s="52"/>
      <c r="D49" s="52"/>
      <c r="E49" s="52"/>
      <c r="F49" s="52"/>
      <c r="G49" s="52"/>
      <c r="H49" s="52"/>
    </row>
    <row r="50" spans="1:8" ht="15" customHeight="1">
      <c r="A50" s="51" t="s">
        <v>190</v>
      </c>
      <c r="B50" s="52"/>
      <c r="C50" s="52"/>
      <c r="D50" s="52"/>
      <c r="E50" s="52"/>
      <c r="F50" s="52"/>
      <c r="G50" s="52"/>
      <c r="H50" s="52"/>
    </row>
    <row r="51" spans="1:8" ht="15" customHeight="1">
      <c r="A51" s="52" t="s">
        <v>191</v>
      </c>
      <c r="B51" s="52"/>
      <c r="C51" s="52"/>
      <c r="D51" s="52"/>
      <c r="E51" s="52"/>
      <c r="F51" s="52"/>
      <c r="G51" s="52"/>
      <c r="H51" s="52"/>
    </row>
    <row r="52" spans="1:8" ht="15" customHeight="1">
      <c r="A52" s="52" t="s">
        <v>192</v>
      </c>
      <c r="B52" s="52"/>
      <c r="C52" s="52"/>
      <c r="D52" s="52"/>
      <c r="E52" s="52"/>
      <c r="F52" s="52"/>
      <c r="G52" s="52"/>
      <c r="H52" s="52"/>
    </row>
    <row r="53" spans="1:8" ht="15" customHeight="1">
      <c r="A53" s="52" t="s">
        <v>193</v>
      </c>
      <c r="B53" s="52"/>
      <c r="C53" s="52"/>
      <c r="D53" s="52"/>
      <c r="E53" s="52"/>
      <c r="F53" s="52"/>
      <c r="G53" s="52"/>
      <c r="H53" s="52"/>
    </row>
    <row r="54" spans="1:8" ht="15" customHeight="1">
      <c r="A54" s="52" t="s">
        <v>194</v>
      </c>
      <c r="B54" s="52"/>
      <c r="C54" s="52"/>
      <c r="D54" s="52"/>
      <c r="E54" s="52"/>
      <c r="F54" s="52"/>
      <c r="G54" s="52"/>
      <c r="H54" s="52"/>
    </row>
    <row r="55" spans="1:8" ht="15" customHeight="1">
      <c r="A55" s="51" t="s">
        <v>195</v>
      </c>
      <c r="B55" s="52"/>
      <c r="C55" s="52"/>
      <c r="D55" s="52"/>
      <c r="E55" s="52"/>
      <c r="F55" s="52"/>
      <c r="G55" s="52"/>
      <c r="H55" s="52"/>
    </row>
    <row r="56" spans="1:8" ht="15" customHeight="1">
      <c r="A56" s="52" t="s">
        <v>196</v>
      </c>
      <c r="B56" s="52"/>
      <c r="C56" s="52"/>
      <c r="D56" s="52"/>
      <c r="E56" s="52"/>
      <c r="F56" s="52"/>
      <c r="G56" s="52"/>
      <c r="H56" s="52"/>
    </row>
    <row r="57" spans="1:8" ht="15" customHeight="1">
      <c r="A57" s="52" t="s">
        <v>197</v>
      </c>
      <c r="B57" s="52"/>
      <c r="C57" s="52"/>
      <c r="D57" s="52"/>
      <c r="E57" s="52"/>
      <c r="F57" s="52"/>
      <c r="G57" s="52"/>
      <c r="H57" s="52"/>
    </row>
    <row r="58" spans="1:8" ht="15" customHeight="1">
      <c r="A58" s="51" t="s">
        <v>198</v>
      </c>
      <c r="B58" s="52"/>
      <c r="C58" s="52"/>
      <c r="D58" s="52"/>
      <c r="E58" s="52"/>
      <c r="F58" s="52"/>
      <c r="G58" s="52"/>
      <c r="H58" s="52"/>
    </row>
    <row r="59" spans="1:8" ht="15" customHeight="1">
      <c r="A59" s="52" t="s">
        <v>199</v>
      </c>
      <c r="B59" s="52"/>
      <c r="C59" s="52"/>
      <c r="D59" s="52"/>
      <c r="E59" s="52"/>
      <c r="F59" s="52"/>
      <c r="G59" s="52"/>
      <c r="H59" s="52"/>
    </row>
    <row r="60" spans="1:8" ht="15" customHeight="1">
      <c r="A60" s="52" t="s">
        <v>200</v>
      </c>
      <c r="B60" s="52"/>
      <c r="C60" s="52"/>
      <c r="D60" s="52"/>
      <c r="E60" s="52"/>
      <c r="F60" s="52"/>
      <c r="G60" s="52"/>
      <c r="H60" s="52"/>
    </row>
    <row r="61" spans="1:8" ht="15" customHeight="1">
      <c r="A61" s="52" t="s">
        <v>201</v>
      </c>
      <c r="B61" s="52"/>
      <c r="C61" s="52"/>
      <c r="D61" s="52"/>
      <c r="E61" s="52"/>
      <c r="F61" s="52"/>
      <c r="G61" s="52"/>
      <c r="H61" s="52"/>
    </row>
    <row r="62" spans="1:8" ht="15" customHeight="1">
      <c r="A62" s="51" t="s">
        <v>202</v>
      </c>
      <c r="B62" s="52"/>
      <c r="C62" s="52"/>
      <c r="D62" s="52"/>
      <c r="E62" s="52"/>
      <c r="F62" s="52"/>
      <c r="G62" s="52"/>
      <c r="H62" s="52"/>
    </row>
    <row r="63" spans="1:8" ht="15" customHeight="1">
      <c r="A63" s="52" t="s">
        <v>203</v>
      </c>
      <c r="B63" s="52"/>
      <c r="C63" s="52"/>
      <c r="D63" s="52"/>
      <c r="E63" s="52"/>
      <c r="F63" s="52"/>
      <c r="G63" s="52"/>
      <c r="H63" s="52"/>
    </row>
    <row r="64" spans="1:8" ht="15" customHeight="1">
      <c r="A64" s="52" t="s">
        <v>204</v>
      </c>
      <c r="B64" s="52"/>
      <c r="C64" s="52"/>
      <c r="D64" s="52"/>
      <c r="E64" s="52"/>
      <c r="F64" s="52"/>
      <c r="G64" s="52"/>
      <c r="H64" s="52"/>
    </row>
    <row r="65" spans="1:8" ht="15" customHeight="1">
      <c r="A65" s="51" t="s">
        <v>205</v>
      </c>
      <c r="B65" s="52"/>
      <c r="C65" s="52"/>
      <c r="D65" s="52"/>
      <c r="E65" s="52"/>
      <c r="F65" s="52"/>
      <c r="G65" s="52"/>
      <c r="H65" s="52"/>
    </row>
    <row r="66" spans="1:8" ht="15" customHeight="1">
      <c r="A66" s="52" t="s">
        <v>206</v>
      </c>
      <c r="B66" s="52"/>
      <c r="C66" s="52"/>
      <c r="D66" s="52"/>
      <c r="E66" s="52"/>
      <c r="F66" s="52"/>
      <c r="G66" s="52"/>
      <c r="H66" s="52"/>
    </row>
    <row r="67" spans="1:8" ht="15" customHeight="1">
      <c r="A67" s="52" t="s">
        <v>207</v>
      </c>
      <c r="B67" s="52"/>
      <c r="C67" s="52"/>
      <c r="D67" s="52"/>
      <c r="E67" s="52"/>
      <c r="F67" s="52"/>
      <c r="G67" s="52"/>
      <c r="H67" s="52"/>
    </row>
    <row r="68" spans="1:8" ht="15" customHeight="1">
      <c r="A68" s="51" t="s">
        <v>208</v>
      </c>
      <c r="B68" s="52"/>
      <c r="C68" s="52"/>
      <c r="D68" s="52"/>
      <c r="E68" s="52"/>
      <c r="F68" s="52"/>
      <c r="G68" s="52"/>
      <c r="H68" s="52"/>
    </row>
    <row r="69" spans="1:8" ht="15" customHeight="1">
      <c r="A69" s="52" t="s">
        <v>209</v>
      </c>
      <c r="B69" s="52"/>
      <c r="C69" s="52"/>
      <c r="D69" s="52"/>
      <c r="E69" s="52"/>
      <c r="F69" s="52"/>
      <c r="G69" s="52"/>
      <c r="H69" s="52"/>
    </row>
    <row r="70" spans="1:8" ht="15" customHeight="1">
      <c r="A70" s="52" t="s">
        <v>210</v>
      </c>
      <c r="B70" s="52"/>
      <c r="C70" s="52"/>
      <c r="D70" s="52"/>
      <c r="E70" s="52"/>
      <c r="F70" s="52"/>
      <c r="G70" s="52"/>
      <c r="H70" s="52"/>
    </row>
    <row r="71" spans="1:8" ht="15" customHeight="1">
      <c r="A71" s="52" t="s">
        <v>211</v>
      </c>
      <c r="B71" s="52"/>
      <c r="C71" s="52"/>
      <c r="D71" s="52"/>
      <c r="E71" s="52"/>
      <c r="F71" s="52"/>
      <c r="G71" s="52"/>
      <c r="H71" s="52"/>
    </row>
    <row r="72" spans="1:8" ht="15" customHeight="1">
      <c r="A72" s="51" t="s">
        <v>212</v>
      </c>
      <c r="B72" s="52"/>
      <c r="C72" s="52"/>
      <c r="D72" s="52"/>
      <c r="E72" s="52"/>
      <c r="F72" s="52"/>
      <c r="G72" s="52"/>
      <c r="H72" s="52"/>
    </row>
    <row r="73" spans="1:8" ht="15" customHeight="1">
      <c r="A73" s="52" t="s">
        <v>213</v>
      </c>
      <c r="B73" s="52"/>
      <c r="C73" s="52"/>
      <c r="D73" s="52"/>
      <c r="E73" s="52"/>
      <c r="F73" s="52"/>
      <c r="G73" s="52"/>
      <c r="H73" s="52"/>
    </row>
    <row r="74" spans="1:8" ht="15" customHeight="1">
      <c r="A74" s="52" t="s">
        <v>214</v>
      </c>
      <c r="B74" s="52"/>
      <c r="C74" s="52"/>
      <c r="D74" s="52"/>
      <c r="E74" s="52"/>
      <c r="F74" s="52"/>
      <c r="G74" s="52"/>
      <c r="H74" s="52"/>
    </row>
    <row r="75" spans="1:8" ht="15" customHeight="1">
      <c r="A75" s="52" t="s">
        <v>215</v>
      </c>
      <c r="B75" s="52"/>
      <c r="C75" s="52"/>
      <c r="D75" s="52"/>
      <c r="E75" s="52"/>
      <c r="F75" s="52"/>
      <c r="G75" s="52"/>
      <c r="H75" s="52"/>
    </row>
    <row r="76" spans="1:8" ht="15" customHeight="1">
      <c r="A76" s="52" t="s">
        <v>216</v>
      </c>
      <c r="B76" s="52"/>
      <c r="C76" s="52"/>
      <c r="D76" s="52"/>
      <c r="E76" s="52"/>
      <c r="F76" s="52"/>
      <c r="G76" s="52"/>
      <c r="H76" s="52"/>
    </row>
    <row r="77" spans="1:8" ht="15" customHeight="1">
      <c r="A77" s="52" t="s">
        <v>217</v>
      </c>
      <c r="B77" s="52"/>
      <c r="C77" s="52"/>
      <c r="D77" s="52"/>
      <c r="E77" s="52"/>
      <c r="F77" s="52"/>
      <c r="G77" s="52"/>
      <c r="H77" s="52"/>
    </row>
    <row r="78" spans="1:8" ht="15" customHeight="1">
      <c r="A78" s="52" t="s">
        <v>218</v>
      </c>
      <c r="B78" s="52"/>
      <c r="C78" s="52"/>
      <c r="D78" s="52"/>
      <c r="E78" s="52"/>
      <c r="F78" s="52"/>
      <c r="G78" s="52"/>
      <c r="H78" s="52"/>
    </row>
    <row r="79" spans="1:8" ht="15" customHeight="1">
      <c r="A79" s="52" t="s">
        <v>219</v>
      </c>
      <c r="B79" s="52"/>
      <c r="C79" s="52"/>
      <c r="D79" s="52"/>
      <c r="E79" s="52"/>
      <c r="F79" s="52"/>
      <c r="G79" s="52"/>
      <c r="H79" s="52"/>
    </row>
    <row r="80" spans="1:8" ht="15" customHeight="1">
      <c r="A80" s="52" t="s">
        <v>220</v>
      </c>
      <c r="B80" s="52"/>
      <c r="C80" s="52"/>
      <c r="D80" s="52"/>
      <c r="E80" s="52"/>
      <c r="F80" s="52"/>
      <c r="G80" s="52"/>
      <c r="H80" s="52"/>
    </row>
    <row r="81" spans="1:8" ht="15" customHeight="1">
      <c r="A81" s="52" t="s">
        <v>221</v>
      </c>
      <c r="B81" s="52"/>
      <c r="C81" s="52"/>
      <c r="D81" s="52"/>
      <c r="E81" s="52"/>
      <c r="F81" s="52"/>
      <c r="G81" s="52"/>
      <c r="H81" s="52"/>
    </row>
    <row r="82" spans="1:8" ht="15" customHeight="1">
      <c r="A82" s="52" t="s">
        <v>222</v>
      </c>
      <c r="B82" s="52"/>
      <c r="C82" s="52"/>
      <c r="D82" s="52"/>
      <c r="E82" s="52"/>
      <c r="F82" s="52"/>
      <c r="G82" s="52"/>
      <c r="H82" s="52"/>
    </row>
    <row r="83" spans="1:8" ht="15" customHeight="1">
      <c r="A83" s="52" t="s">
        <v>223</v>
      </c>
      <c r="B83" s="52"/>
      <c r="C83" s="52"/>
      <c r="D83" s="52"/>
      <c r="E83" s="52"/>
      <c r="F83" s="52"/>
      <c r="G83" s="52"/>
      <c r="H83" s="52"/>
    </row>
    <row r="84" spans="1:8" ht="15" customHeight="1">
      <c r="A84" s="52" t="s">
        <v>224</v>
      </c>
      <c r="B84" s="52"/>
      <c r="C84" s="52"/>
      <c r="D84" s="52"/>
      <c r="E84" s="52"/>
      <c r="F84" s="52"/>
      <c r="G84" s="52"/>
      <c r="H84" s="52"/>
    </row>
    <row r="85" spans="1:8" ht="15" customHeight="1">
      <c r="A85" s="52" t="s">
        <v>225</v>
      </c>
      <c r="B85" s="52"/>
      <c r="C85" s="52"/>
      <c r="D85" s="52"/>
      <c r="E85" s="52"/>
      <c r="F85" s="52"/>
      <c r="G85" s="52"/>
      <c r="H85" s="52"/>
    </row>
    <row r="86" spans="1:8" ht="15" customHeight="1">
      <c r="A86" s="52" t="s">
        <v>226</v>
      </c>
      <c r="B86" s="52"/>
      <c r="C86" s="52"/>
      <c r="D86" s="52"/>
      <c r="E86" s="52"/>
      <c r="F86" s="52"/>
      <c r="G86" s="52"/>
      <c r="H86" s="52"/>
    </row>
    <row r="87" spans="1:8" ht="15" customHeight="1">
      <c r="A87" s="52" t="s">
        <v>227</v>
      </c>
      <c r="B87" s="52"/>
      <c r="C87" s="52"/>
      <c r="D87" s="52"/>
      <c r="E87" s="52"/>
      <c r="F87" s="52"/>
      <c r="G87" s="52"/>
      <c r="H87" s="52"/>
    </row>
    <row r="88" spans="1:8" ht="15" customHeight="1">
      <c r="A88" s="52" t="s">
        <v>228</v>
      </c>
      <c r="B88" s="52"/>
      <c r="C88" s="52"/>
      <c r="D88" s="52"/>
      <c r="E88" s="52"/>
      <c r="F88" s="52"/>
      <c r="G88" s="52"/>
      <c r="H88" s="52"/>
    </row>
    <row r="89" spans="1:8" ht="15" customHeight="1">
      <c r="A89" s="52" t="s">
        <v>229</v>
      </c>
      <c r="B89" s="52"/>
      <c r="C89" s="52"/>
      <c r="D89" s="52"/>
      <c r="E89" s="52"/>
      <c r="F89" s="52"/>
      <c r="G89" s="52"/>
      <c r="H89" s="52"/>
    </row>
    <row r="90" spans="1:8" ht="15" customHeight="1">
      <c r="A90" s="52" t="s">
        <v>230</v>
      </c>
      <c r="B90" s="52"/>
      <c r="C90" s="52"/>
      <c r="D90" s="52"/>
      <c r="E90" s="52"/>
      <c r="F90" s="52"/>
      <c r="G90" s="52"/>
      <c r="H90" s="52"/>
    </row>
    <row r="91" spans="1:8" ht="15" customHeight="1">
      <c r="A91" s="52" t="s">
        <v>231</v>
      </c>
      <c r="B91" s="52"/>
      <c r="C91" s="52"/>
      <c r="D91" s="52"/>
      <c r="E91" s="52"/>
      <c r="F91" s="52"/>
      <c r="G91" s="52"/>
      <c r="H91" s="52"/>
    </row>
    <row r="92" spans="1:8" ht="15" customHeight="1">
      <c r="A92" s="52" t="s">
        <v>232</v>
      </c>
      <c r="B92" s="52"/>
      <c r="C92" s="52"/>
      <c r="D92" s="52"/>
      <c r="E92" s="52"/>
      <c r="F92" s="52"/>
      <c r="G92" s="52"/>
      <c r="H92" s="52"/>
    </row>
    <row r="93" spans="1:8" ht="15" customHeight="1">
      <c r="A93" s="52" t="s">
        <v>233</v>
      </c>
      <c r="B93" s="52"/>
      <c r="C93" s="52"/>
      <c r="D93" s="52"/>
      <c r="E93" s="52"/>
      <c r="F93" s="52"/>
      <c r="G93" s="52"/>
      <c r="H93" s="52"/>
    </row>
    <row r="94" spans="1:8" ht="15" customHeight="1">
      <c r="A94" s="52" t="s">
        <v>234</v>
      </c>
      <c r="B94" s="52"/>
      <c r="C94" s="52"/>
      <c r="D94" s="52"/>
      <c r="E94" s="52"/>
      <c r="F94" s="52"/>
      <c r="G94" s="52"/>
      <c r="H94" s="52"/>
    </row>
    <row r="95" spans="1:8" ht="15" customHeight="1">
      <c r="A95" s="52" t="s">
        <v>235</v>
      </c>
      <c r="B95" s="52"/>
      <c r="C95" s="52"/>
      <c r="D95" s="52"/>
      <c r="E95" s="52"/>
      <c r="F95" s="52"/>
      <c r="G95" s="52"/>
      <c r="H95" s="52"/>
    </row>
    <row r="96" spans="1:8" ht="15" customHeight="1">
      <c r="A96" s="52" t="s">
        <v>236</v>
      </c>
      <c r="B96" s="52"/>
      <c r="C96" s="52"/>
      <c r="D96" s="52"/>
      <c r="E96" s="52"/>
      <c r="F96" s="52"/>
      <c r="G96" s="52"/>
      <c r="H96" s="52"/>
    </row>
    <row r="97" spans="1:8" ht="15" customHeight="1">
      <c r="A97" s="52" t="s">
        <v>237</v>
      </c>
      <c r="B97" s="52"/>
      <c r="C97" s="52"/>
      <c r="D97" s="52"/>
      <c r="E97" s="52"/>
      <c r="F97" s="52"/>
      <c r="G97" s="52"/>
      <c r="H97" s="52"/>
    </row>
    <row r="98" spans="1:8" ht="15" customHeight="1">
      <c r="A98" s="52" t="s">
        <v>238</v>
      </c>
      <c r="B98" s="52"/>
      <c r="C98" s="52"/>
      <c r="D98" s="52"/>
      <c r="E98" s="52"/>
      <c r="F98" s="52"/>
      <c r="G98" s="52"/>
      <c r="H98" s="52"/>
    </row>
    <row r="99" spans="1:8" ht="15" customHeight="1">
      <c r="A99" s="52" t="s">
        <v>239</v>
      </c>
      <c r="B99" s="52"/>
      <c r="C99" s="52"/>
      <c r="D99" s="52"/>
      <c r="E99" s="52"/>
      <c r="F99" s="52"/>
      <c r="G99" s="52"/>
      <c r="H99" s="52"/>
    </row>
    <row r="100" spans="1:8" ht="15" customHeight="1">
      <c r="A100" s="52" t="s">
        <v>240</v>
      </c>
      <c r="B100" s="52"/>
      <c r="C100" s="52"/>
      <c r="D100" s="52"/>
      <c r="E100" s="52"/>
      <c r="F100" s="52"/>
      <c r="G100" s="52"/>
      <c r="H100" s="52"/>
    </row>
    <row r="101" spans="1:8" ht="15" customHeight="1">
      <c r="A101" s="52" t="s">
        <v>241</v>
      </c>
      <c r="B101" s="52"/>
      <c r="C101" s="52"/>
      <c r="D101" s="52"/>
      <c r="E101" s="52"/>
      <c r="F101" s="52"/>
      <c r="G101" s="52"/>
      <c r="H101" s="52"/>
    </row>
    <row r="102" ht="24" customHeight="1"/>
    <row r="103" ht="24" customHeight="1"/>
    <row r="104" ht="24" customHeight="1"/>
    <row r="105" ht="24" customHeight="1"/>
    <row r="106" ht="24" customHeight="1"/>
    <row r="108" ht="9" customHeight="1"/>
    <row r="110" ht="9" customHeight="1"/>
    <row r="112" ht="8.25" customHeight="1"/>
    <row r="113" ht="12.75" customHeight="1"/>
    <row r="114" ht="22.5" customHeight="1"/>
    <row r="115" ht="12.75">
      <c r="B115" s="53"/>
    </row>
    <row r="116" ht="12.75">
      <c r="B116" s="53"/>
    </row>
    <row r="117" spans="1:2" ht="24" customHeight="1">
      <c r="A117" s="14"/>
      <c r="B117" s="53"/>
    </row>
    <row r="118" ht="3.75" customHeight="1">
      <c r="B118" s="53"/>
    </row>
    <row r="119" ht="19.5" customHeight="1">
      <c r="B119" s="53"/>
    </row>
    <row r="120" ht="19.5" customHeight="1">
      <c r="B120" s="53"/>
    </row>
    <row r="121" ht="19.5" customHeight="1">
      <c r="B121" s="53"/>
    </row>
    <row r="122" ht="16.5" customHeight="1">
      <c r="B122" s="53"/>
    </row>
    <row r="123" ht="21.75" customHeight="1">
      <c r="B123" s="53"/>
    </row>
    <row r="124" ht="23.25" customHeight="1">
      <c r="B124" s="53"/>
    </row>
    <row r="125" ht="12.75">
      <c r="B125" s="53"/>
    </row>
    <row r="126" ht="12.75">
      <c r="B126" s="53"/>
    </row>
    <row r="128" ht="12.75">
      <c r="B128" s="53"/>
    </row>
    <row r="129" ht="12.75">
      <c r="B129" s="53"/>
    </row>
  </sheetData>
  <sheetProtection selectLockedCells="1" selectUnlockedCells="1"/>
  <mergeCells count="25">
    <mergeCell ref="J27:L27"/>
    <mergeCell ref="A2:J2"/>
    <mergeCell ref="A4:J4"/>
    <mergeCell ref="K4:M4"/>
    <mergeCell ref="K5:M5"/>
    <mergeCell ref="A7:A8"/>
    <mergeCell ref="B7:J8"/>
    <mergeCell ref="K7:M8"/>
    <mergeCell ref="A9:A13"/>
    <mergeCell ref="B9:J9"/>
    <mergeCell ref="K9:L13"/>
    <mergeCell ref="B10:J10"/>
    <mergeCell ref="B11:J11"/>
    <mergeCell ref="B12:J12"/>
    <mergeCell ref="B13:J13"/>
    <mergeCell ref="A29:M29"/>
    <mergeCell ref="A14:J14"/>
    <mergeCell ref="A16:M16"/>
    <mergeCell ref="A17:M17"/>
    <mergeCell ref="A21:M21"/>
    <mergeCell ref="B25:I25"/>
    <mergeCell ref="J25:L25"/>
    <mergeCell ref="B26:I26"/>
    <mergeCell ref="J26:L26"/>
    <mergeCell ref="B27:I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4"/>
  <dimension ref="A1:L87"/>
  <sheetViews>
    <sheetView tabSelected="1" zoomScale="140" zoomScaleNormal="140" zoomScalePageLayoutView="0" workbookViewId="0" topLeftCell="A40">
      <selection activeCell="H46" sqref="B46:H47"/>
    </sheetView>
  </sheetViews>
  <sheetFormatPr defaultColWidth="9.140625" defaultRowHeight="12.75"/>
  <cols>
    <col min="1" max="1" width="9.8515625" style="171" customWidth="1"/>
    <col min="2" max="3" width="10.57421875" style="171" customWidth="1"/>
    <col min="4" max="4" width="13.421875" style="171" customWidth="1"/>
    <col min="5" max="5" width="8.421875" style="171" customWidth="1"/>
    <col min="6" max="6" width="10.421875" style="171" customWidth="1"/>
    <col min="7" max="7" width="8.00390625" style="171" customWidth="1"/>
    <col min="8" max="8" width="12.28125" style="171" customWidth="1"/>
    <col min="9" max="9" width="5.421875" style="171" customWidth="1"/>
    <col min="10" max="10" width="5.7109375" style="171" customWidth="1"/>
    <col min="11" max="16384" width="9.140625" style="171" customWidth="1"/>
  </cols>
  <sheetData>
    <row r="1" spans="2:10" ht="12">
      <c r="B1" s="172"/>
      <c r="C1" s="172"/>
      <c r="D1" s="172" t="s">
        <v>40</v>
      </c>
      <c r="E1" s="172"/>
      <c r="F1" s="172"/>
      <c r="G1" s="172"/>
      <c r="H1" s="172"/>
      <c r="I1" s="172"/>
      <c r="J1" s="174"/>
    </row>
    <row r="2" spans="1:10" ht="12">
      <c r="A2" s="175"/>
      <c r="B2" s="176"/>
      <c r="C2" s="177"/>
      <c r="D2" s="178" t="s">
        <v>41</v>
      </c>
      <c r="F2" s="176"/>
      <c r="G2" s="176"/>
      <c r="H2" s="176"/>
      <c r="I2" s="176"/>
      <c r="J2" s="179"/>
    </row>
    <row r="3" spans="1:10" ht="16.5" customHeight="1" thickBot="1">
      <c r="A3" s="472" t="s">
        <v>42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12.75" thickBot="1">
      <c r="A4" s="177"/>
      <c r="B4" s="180" t="s">
        <v>43</v>
      </c>
      <c r="C4" s="177"/>
      <c r="D4" s="181">
        <v>0</v>
      </c>
      <c r="E4" s="176"/>
      <c r="F4" s="176"/>
      <c r="G4" s="176"/>
      <c r="H4" s="176"/>
      <c r="I4" s="176"/>
      <c r="J4" s="260"/>
    </row>
    <row r="5" spans="1:10" ht="44.25" customHeight="1">
      <c r="A5" s="264" t="s">
        <v>44</v>
      </c>
      <c r="B5" s="265" t="s">
        <v>45</v>
      </c>
      <c r="C5" s="266" t="s">
        <v>46</v>
      </c>
      <c r="D5" s="266" t="s">
        <v>47</v>
      </c>
      <c r="E5" s="266" t="s">
        <v>48</v>
      </c>
      <c r="F5" s="266" t="s">
        <v>49</v>
      </c>
      <c r="G5" s="267"/>
      <c r="H5" s="267"/>
      <c r="I5" s="267"/>
      <c r="J5" s="268"/>
    </row>
    <row r="6" spans="1:10" ht="15" customHeight="1">
      <c r="A6" s="269" t="s">
        <v>50</v>
      </c>
      <c r="B6" s="270" t="s">
        <v>51</v>
      </c>
      <c r="C6" s="270" t="s">
        <v>52</v>
      </c>
      <c r="D6" s="270" t="s">
        <v>53</v>
      </c>
      <c r="E6" s="270" t="s">
        <v>54</v>
      </c>
      <c r="F6" s="271" t="s">
        <v>55</v>
      </c>
      <c r="G6" s="272"/>
      <c r="H6" s="272"/>
      <c r="I6" s="272"/>
      <c r="J6" s="273"/>
    </row>
    <row r="7" spans="1:10" ht="12">
      <c r="A7" s="274" t="s">
        <v>56</v>
      </c>
      <c r="B7" s="275">
        <f>IF($D$4&lt;95,1,"")</f>
        <v>1</v>
      </c>
      <c r="C7" s="275">
        <f>IF($D$4&lt;=95,$D$4,0)</f>
        <v>0</v>
      </c>
      <c r="D7" s="275" t="e">
        <f>C7/C12</f>
        <v>#DIV/0!</v>
      </c>
      <c r="E7" s="275">
        <v>0</v>
      </c>
      <c r="F7" s="275" t="e">
        <f>D7*E7</f>
        <v>#DIV/0!</v>
      </c>
      <c r="G7" s="272"/>
      <c r="H7" s="272"/>
      <c r="I7" s="272"/>
      <c r="J7" s="273"/>
    </row>
    <row r="8" spans="1:10" ht="12">
      <c r="A8" s="274" t="s">
        <v>57</v>
      </c>
      <c r="B8" s="275">
        <f>IF(AND($D$4&gt;=95,$D$4&lt;110),1,"")</f>
      </c>
      <c r="C8" s="275">
        <f>IF(AND($D$4&gt;95,$D$4&lt;=110),$D$4,0)</f>
        <v>0</v>
      </c>
      <c r="D8" s="275" t="e">
        <f>C8/C12</f>
        <v>#DIV/0!</v>
      </c>
      <c r="E8" s="275">
        <v>5</v>
      </c>
      <c r="F8" s="275" t="e">
        <f>D8*E8</f>
        <v>#DIV/0!</v>
      </c>
      <c r="G8" s="272"/>
      <c r="H8" s="272"/>
      <c r="I8" s="272"/>
      <c r="J8" s="273"/>
    </row>
    <row r="9" spans="1:10" ht="12">
      <c r="A9" s="274" t="s">
        <v>58</v>
      </c>
      <c r="B9" s="275">
        <f>IF(AND($D$4&gt;=110,$D$4&lt;130),1,"")</f>
      </c>
      <c r="C9" s="275">
        <f>IF(AND($D$4&gt;110,$D$4&lt;=130),$D$4,0)</f>
        <v>0</v>
      </c>
      <c r="D9" s="275" t="e">
        <f>C9/C12</f>
        <v>#DIV/0!</v>
      </c>
      <c r="E9" s="275">
        <v>15</v>
      </c>
      <c r="F9" s="275" t="e">
        <f>D9*E9</f>
        <v>#DIV/0!</v>
      </c>
      <c r="G9" s="272"/>
      <c r="H9" s="272"/>
      <c r="I9" s="272"/>
      <c r="J9" s="273"/>
    </row>
    <row r="10" spans="1:10" ht="12">
      <c r="A10" s="274" t="s">
        <v>59</v>
      </c>
      <c r="B10" s="275">
        <f>IF(AND($D$4&gt;=130,$D$4&lt;160),1,"")</f>
      </c>
      <c r="C10" s="275">
        <f>IF(AND($D$4&gt;130,$D$4&lt;=160),$D$4,0)</f>
        <v>0</v>
      </c>
      <c r="D10" s="275" t="e">
        <f>C10/C12</f>
        <v>#DIV/0!</v>
      </c>
      <c r="E10" s="275">
        <v>30</v>
      </c>
      <c r="F10" s="275" t="e">
        <f>D10*E10</f>
        <v>#DIV/0!</v>
      </c>
      <c r="G10" s="272"/>
      <c r="H10" s="272"/>
      <c r="I10" s="272"/>
      <c r="J10" s="273"/>
    </row>
    <row r="11" spans="1:10" ht="12">
      <c r="A11" s="274" t="s">
        <v>60</v>
      </c>
      <c r="B11" s="275">
        <f>IF($D$4&gt;160,1,"")</f>
      </c>
      <c r="C11" s="275">
        <f>IF($D$4&gt;160,$D$4,0)</f>
        <v>0</v>
      </c>
      <c r="D11" s="275" t="e">
        <f>C11/C12</f>
        <v>#DIV/0!</v>
      </c>
      <c r="E11" s="275">
        <v>50</v>
      </c>
      <c r="F11" s="275" t="e">
        <f>D11*E11</f>
        <v>#DIV/0!</v>
      </c>
      <c r="G11" s="272"/>
      <c r="H11" s="272"/>
      <c r="I11" s="272"/>
      <c r="J11" s="273"/>
    </row>
    <row r="12" spans="1:10" ht="12">
      <c r="A12" s="276"/>
      <c r="B12" s="277" t="s">
        <v>61</v>
      </c>
      <c r="C12" s="275">
        <f>SUM(C7:C11)</f>
        <v>0</v>
      </c>
      <c r="D12" s="272"/>
      <c r="E12" s="272"/>
      <c r="F12" s="272" t="s">
        <v>62</v>
      </c>
      <c r="G12" s="275" t="e">
        <f>SUM(F7:F11)</f>
        <v>#DIV/0!</v>
      </c>
      <c r="H12" s="272"/>
      <c r="I12" s="272"/>
      <c r="J12" s="273"/>
    </row>
    <row r="13" spans="1:10" ht="12.75" thickBot="1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43.5" customHeight="1">
      <c r="A14" s="474" t="s">
        <v>63</v>
      </c>
      <c r="B14" s="475"/>
      <c r="C14" s="475"/>
      <c r="D14" s="182"/>
      <c r="E14" s="182"/>
      <c r="F14" s="182"/>
      <c r="G14" s="182"/>
      <c r="H14" s="182"/>
      <c r="I14" s="182"/>
      <c r="J14" s="183"/>
    </row>
    <row r="15" spans="1:10" ht="33" customHeight="1">
      <c r="A15" s="476" t="s">
        <v>64</v>
      </c>
      <c r="B15" s="477"/>
      <c r="C15" s="281" t="s">
        <v>65</v>
      </c>
      <c r="D15" s="184"/>
      <c r="E15" s="184"/>
      <c r="F15" s="478" t="s">
        <v>66</v>
      </c>
      <c r="G15" s="478"/>
      <c r="H15" s="478"/>
      <c r="I15" s="184"/>
      <c r="J15" s="185"/>
    </row>
    <row r="16" spans="1:10" ht="10.5" customHeight="1">
      <c r="A16" s="479" t="s">
        <v>67</v>
      </c>
      <c r="B16" s="480"/>
      <c r="C16" s="282" t="s">
        <v>68</v>
      </c>
      <c r="D16" s="283"/>
      <c r="E16" s="184"/>
      <c r="F16" s="478"/>
      <c r="G16" s="478"/>
      <c r="H16" s="478"/>
      <c r="I16" s="184"/>
      <c r="J16" s="185"/>
    </row>
    <row r="17" spans="1:10" ht="50.25" customHeight="1">
      <c r="A17" s="481" t="s">
        <v>69</v>
      </c>
      <c r="B17" s="482"/>
      <c r="C17" s="186">
        <v>0</v>
      </c>
      <c r="D17" s="184"/>
      <c r="E17" s="184"/>
      <c r="F17" s="284" t="s">
        <v>70</v>
      </c>
      <c r="G17" s="284" t="s">
        <v>71</v>
      </c>
      <c r="H17" s="284" t="s">
        <v>72</v>
      </c>
      <c r="I17" s="184"/>
      <c r="J17" s="185"/>
    </row>
    <row r="18" spans="1:10" ht="24.75" customHeight="1">
      <c r="A18" s="466" t="s">
        <v>73</v>
      </c>
      <c r="B18" s="467"/>
      <c r="C18" s="186">
        <v>0</v>
      </c>
      <c r="D18" s="184"/>
      <c r="E18" s="184"/>
      <c r="F18" s="282" t="s">
        <v>74</v>
      </c>
      <c r="G18" s="282" t="s">
        <v>75</v>
      </c>
      <c r="H18" s="282" t="s">
        <v>76</v>
      </c>
      <c r="I18" s="184"/>
      <c r="J18" s="185"/>
    </row>
    <row r="19" spans="1:10" ht="12.75" customHeight="1">
      <c r="A19" s="466" t="s">
        <v>77</v>
      </c>
      <c r="B19" s="467"/>
      <c r="C19" s="186">
        <v>0</v>
      </c>
      <c r="D19" s="184"/>
      <c r="E19" s="184"/>
      <c r="F19" s="187" t="s">
        <v>78</v>
      </c>
      <c r="G19" s="187" t="e">
        <f>IF(E21&lt;=50,"X",0)</f>
        <v>#DIV/0!</v>
      </c>
      <c r="H19" s="187">
        <v>0</v>
      </c>
      <c r="I19" s="184"/>
      <c r="J19" s="185"/>
    </row>
    <row r="20" spans="1:10" ht="12.75" customHeight="1">
      <c r="A20" s="468" t="s">
        <v>79</v>
      </c>
      <c r="B20" s="469"/>
      <c r="C20" s="285"/>
      <c r="D20" s="184"/>
      <c r="E20" s="184"/>
      <c r="F20" s="187" t="s">
        <v>80</v>
      </c>
      <c r="G20" s="187" t="e">
        <f>IF(E21&gt;50,IF(E21&lt;=75,"X",0),0)</f>
        <v>#DIV/0!</v>
      </c>
      <c r="H20" s="187">
        <v>10</v>
      </c>
      <c r="I20" s="184"/>
      <c r="J20" s="185"/>
    </row>
    <row r="21" spans="1:10" ht="12">
      <c r="A21" s="188"/>
      <c r="B21" s="189" t="s">
        <v>81</v>
      </c>
      <c r="C21" s="187">
        <f>SUM(C17:C20)</f>
        <v>0</v>
      </c>
      <c r="D21" s="190" t="s">
        <v>82</v>
      </c>
      <c r="E21" s="190" t="e">
        <f>C21/C12*100</f>
        <v>#DIV/0!</v>
      </c>
      <c r="F21" s="187" t="s">
        <v>83</v>
      </c>
      <c r="G21" s="187" t="e">
        <f>IF(E21&gt;75,IF(E21&lt;=100,"X",0),0)</f>
        <v>#DIV/0!</v>
      </c>
      <c r="H21" s="187">
        <v>20</v>
      </c>
      <c r="I21" s="184"/>
      <c r="J21" s="185"/>
    </row>
    <row r="22" spans="1:10" ht="12">
      <c r="A22" s="191"/>
      <c r="B22" s="184"/>
      <c r="C22" s="184"/>
      <c r="D22" s="184"/>
      <c r="E22" s="184"/>
      <c r="F22" s="187" t="s">
        <v>84</v>
      </c>
      <c r="G22" s="187" t="e">
        <f>IF(E21&gt;100,"X",0)</f>
        <v>#DIV/0!</v>
      </c>
      <c r="H22" s="187">
        <v>30</v>
      </c>
      <c r="I22" s="184"/>
      <c r="J22" s="185"/>
    </row>
    <row r="23" spans="1:10" ht="12.75" thickBot="1">
      <c r="A23" s="192"/>
      <c r="B23" s="193"/>
      <c r="C23" s="193"/>
      <c r="D23" s="193"/>
      <c r="E23" s="193"/>
      <c r="F23" s="194" t="s">
        <v>85</v>
      </c>
      <c r="G23" s="195" t="e">
        <f>IF(E21&lt;=50,0,IF(E21&lt;=75,10,IF(E21&lt;=100,20,30)))</f>
        <v>#DIV/0!</v>
      </c>
      <c r="H23" s="193"/>
      <c r="I23" s="193"/>
      <c r="J23" s="196"/>
    </row>
    <row r="24" spans="1:10" ht="12">
      <c r="A24" s="197" t="s">
        <v>86</v>
      </c>
      <c r="B24" s="197"/>
      <c r="C24" s="197"/>
      <c r="D24" s="197"/>
      <c r="E24" s="198"/>
      <c r="F24" s="199"/>
      <c r="G24" s="200"/>
      <c r="H24" s="201"/>
      <c r="I24" s="201"/>
      <c r="J24" s="202"/>
    </row>
    <row r="25" spans="1:10" ht="12">
      <c r="A25" s="203" t="s">
        <v>87</v>
      </c>
      <c r="B25" s="197"/>
      <c r="C25" s="197"/>
      <c r="D25" s="197"/>
      <c r="E25" s="198"/>
      <c r="F25" s="204"/>
      <c r="G25" s="201"/>
      <c r="H25" s="201"/>
      <c r="I25" s="201"/>
      <c r="J25" s="202"/>
    </row>
    <row r="26" spans="1:10" ht="39.75" customHeight="1">
      <c r="A26" s="470" t="s">
        <v>88</v>
      </c>
      <c r="B26" s="470"/>
      <c r="C26" s="470"/>
      <c r="D26" s="470"/>
      <c r="E26" s="198"/>
      <c r="F26" s="471" t="s">
        <v>89</v>
      </c>
      <c r="G26" s="471"/>
      <c r="H26" s="471"/>
      <c r="I26" s="201"/>
      <c r="J26" s="202"/>
    </row>
    <row r="27" spans="1:10" ht="36">
      <c r="A27" s="463" t="s">
        <v>90</v>
      </c>
      <c r="B27" s="463"/>
      <c r="C27" s="205" t="s">
        <v>91</v>
      </c>
      <c r="D27" s="205" t="s">
        <v>92</v>
      </c>
      <c r="E27" s="198"/>
      <c r="F27" s="206" t="s">
        <v>93</v>
      </c>
      <c r="G27" s="207" t="s">
        <v>71</v>
      </c>
      <c r="H27" s="208" t="s">
        <v>72</v>
      </c>
      <c r="I27" s="201"/>
      <c r="J27" s="202"/>
    </row>
    <row r="28" spans="1:10" ht="12">
      <c r="A28" s="461" t="s">
        <v>94</v>
      </c>
      <c r="B28" s="461"/>
      <c r="C28" s="209" t="s">
        <v>95</v>
      </c>
      <c r="D28" s="209" t="s">
        <v>96</v>
      </c>
      <c r="E28" s="198"/>
      <c r="F28" s="210" t="s">
        <v>97</v>
      </c>
      <c r="G28" s="211" t="s">
        <v>98</v>
      </c>
      <c r="H28" s="211" t="s">
        <v>99</v>
      </c>
      <c r="I28" s="201"/>
      <c r="J28" s="202"/>
    </row>
    <row r="29" spans="1:10" ht="12">
      <c r="A29" s="205">
        <v>1</v>
      </c>
      <c r="B29" s="212" t="s">
        <v>100</v>
      </c>
      <c r="C29" s="213" t="s">
        <v>101</v>
      </c>
      <c r="D29" s="286">
        <f>C12</f>
        <v>0</v>
      </c>
      <c r="E29" s="198"/>
      <c r="F29" s="393">
        <v>0</v>
      </c>
      <c r="G29" s="289">
        <v>0</v>
      </c>
      <c r="H29" s="208">
        <v>0</v>
      </c>
      <c r="I29" s="201"/>
      <c r="J29" s="202"/>
    </row>
    <row r="30" spans="1:10" ht="15">
      <c r="A30" s="205">
        <v>2</v>
      </c>
      <c r="B30" s="212" t="s">
        <v>102</v>
      </c>
      <c r="C30" s="213" t="s">
        <v>103</v>
      </c>
      <c r="D30" s="287">
        <f>C21</f>
        <v>0</v>
      </c>
      <c r="E30" s="198"/>
      <c r="F30" s="393">
        <v>1</v>
      </c>
      <c r="G30" s="289">
        <v>0</v>
      </c>
      <c r="H30" s="208">
        <v>10</v>
      </c>
      <c r="I30" s="201"/>
      <c r="J30" s="202"/>
    </row>
    <row r="31" spans="1:10" ht="15">
      <c r="A31" s="205">
        <v>3</v>
      </c>
      <c r="B31" s="212" t="s">
        <v>104</v>
      </c>
      <c r="C31" s="213" t="s">
        <v>105</v>
      </c>
      <c r="D31" s="214">
        <f>D30*0.6</f>
        <v>0</v>
      </c>
      <c r="E31" s="198"/>
      <c r="F31" s="393">
        <v>2</v>
      </c>
      <c r="G31" s="289">
        <v>0</v>
      </c>
      <c r="H31" s="208">
        <v>20</v>
      </c>
      <c r="I31" s="201"/>
      <c r="J31" s="202"/>
    </row>
    <row r="32" spans="1:10" ht="12">
      <c r="A32" s="205" t="s">
        <v>106</v>
      </c>
      <c r="B32" s="212" t="s">
        <v>107</v>
      </c>
      <c r="C32" s="213" t="s">
        <v>108</v>
      </c>
      <c r="D32" s="215">
        <f>D29+D31</f>
        <v>0</v>
      </c>
      <c r="E32" s="198"/>
      <c r="F32" s="393">
        <v>3</v>
      </c>
      <c r="G32" s="289">
        <v>0</v>
      </c>
      <c r="H32" s="208">
        <v>30</v>
      </c>
      <c r="I32" s="201"/>
      <c r="J32" s="202"/>
    </row>
    <row r="33" spans="1:10" ht="12">
      <c r="A33" s="216"/>
      <c r="B33" s="198"/>
      <c r="C33" s="198"/>
      <c r="D33" s="198"/>
      <c r="E33" s="198"/>
      <c r="F33" s="393">
        <v>4</v>
      </c>
      <c r="G33" s="289">
        <v>0</v>
      </c>
      <c r="H33" s="208">
        <v>40</v>
      </c>
      <c r="I33" s="201"/>
      <c r="J33" s="202"/>
    </row>
    <row r="34" spans="1:10" ht="12">
      <c r="A34" s="203" t="s">
        <v>109</v>
      </c>
      <c r="B34" s="198"/>
      <c r="C34" s="198"/>
      <c r="D34" s="198"/>
      <c r="E34" s="198"/>
      <c r="F34" s="393">
        <v>5</v>
      </c>
      <c r="G34" s="289">
        <v>0</v>
      </c>
      <c r="H34" s="208">
        <v>50</v>
      </c>
      <c r="I34" s="201"/>
      <c r="J34" s="202"/>
    </row>
    <row r="35" spans="1:10" ht="24.75" customHeight="1">
      <c r="A35" s="462" t="s">
        <v>110</v>
      </c>
      <c r="B35" s="462"/>
      <c r="C35" s="462"/>
      <c r="D35" s="462"/>
      <c r="E35" s="198"/>
      <c r="F35" s="199" t="s">
        <v>111</v>
      </c>
      <c r="G35" s="208">
        <f>IF(G30&lt;&gt;0,10,IF(G31&lt;&gt;0,20,IF(G32&lt;&gt;0,30,IF(G33&lt;&gt;0,40,IF(G34&lt;&gt;0,50,0)))))</f>
        <v>0</v>
      </c>
      <c r="H35" s="201"/>
      <c r="I35" s="217"/>
      <c r="J35" s="202"/>
    </row>
    <row r="36" spans="1:10" ht="11.25" customHeight="1">
      <c r="A36" s="463" t="s">
        <v>90</v>
      </c>
      <c r="B36" s="463"/>
      <c r="C36" s="205" t="s">
        <v>91</v>
      </c>
      <c r="D36" s="205" t="s">
        <v>92</v>
      </c>
      <c r="E36" s="198"/>
      <c r="F36" s="199"/>
      <c r="G36" s="200"/>
      <c r="H36" s="201"/>
      <c r="I36" s="218"/>
      <c r="J36" s="219"/>
    </row>
    <row r="37" spans="1:10" ht="12" customHeight="1">
      <c r="A37" s="461" t="s">
        <v>94</v>
      </c>
      <c r="B37" s="461"/>
      <c r="C37" s="209" t="s">
        <v>95</v>
      </c>
      <c r="D37" s="209" t="s">
        <v>96</v>
      </c>
      <c r="E37" s="198"/>
      <c r="F37" s="464" t="s">
        <v>112</v>
      </c>
      <c r="G37" s="464"/>
      <c r="H37" s="464"/>
      <c r="I37" s="220" t="e">
        <f>IF(($G$12+$G$23+$G$35)&gt;15,SUM($G$12,$G$23,$G$35),"")</f>
        <v>#DIV/0!</v>
      </c>
      <c r="J37" s="219"/>
    </row>
    <row r="38" spans="1:10" ht="14.25" customHeight="1">
      <c r="A38" s="205">
        <v>1</v>
      </c>
      <c r="B38" s="212" t="s">
        <v>113</v>
      </c>
      <c r="C38" s="213" t="s">
        <v>101</v>
      </c>
      <c r="D38" s="290">
        <v>0</v>
      </c>
      <c r="E38" s="198"/>
      <c r="F38" s="204"/>
      <c r="G38" s="201"/>
      <c r="H38" s="201"/>
      <c r="I38" s="221" t="e">
        <f>IF(($G$12+$G$23+$G$35)&lt;=15,SUM($G$12,$G$23,$G$35),"")</f>
        <v>#DIV/0!</v>
      </c>
      <c r="J38" s="219"/>
    </row>
    <row r="39" spans="1:10" ht="13.5" customHeight="1">
      <c r="A39" s="205">
        <v>2</v>
      </c>
      <c r="B39" s="212" t="s">
        <v>114</v>
      </c>
      <c r="C39" s="213" t="s">
        <v>103</v>
      </c>
      <c r="D39" s="290">
        <v>0</v>
      </c>
      <c r="E39" s="198"/>
      <c r="F39" s="199"/>
      <c r="G39" s="200"/>
      <c r="H39" s="201"/>
      <c r="I39" s="218"/>
      <c r="J39" s="219"/>
    </row>
    <row r="40" spans="1:10" ht="12.75" customHeight="1" thickBot="1">
      <c r="A40" s="205">
        <v>3</v>
      </c>
      <c r="B40" s="212" t="s">
        <v>115</v>
      </c>
      <c r="C40" s="213" t="s">
        <v>105</v>
      </c>
      <c r="D40" s="205">
        <f>D39*0.6</f>
        <v>0</v>
      </c>
      <c r="E40" s="198"/>
      <c r="F40" s="222"/>
      <c r="G40" s="223"/>
      <c r="H40" s="224"/>
      <c r="I40" s="218"/>
      <c r="J40" s="225"/>
    </row>
    <row r="41" spans="1:10" ht="27" customHeight="1" thickTop="1">
      <c r="A41" s="205" t="s">
        <v>106</v>
      </c>
      <c r="B41" s="212" t="s">
        <v>116</v>
      </c>
      <c r="C41" s="213" t="s">
        <v>108</v>
      </c>
      <c r="D41" s="226">
        <f>D38+D40</f>
        <v>0</v>
      </c>
      <c r="E41" s="227">
        <f>IF(D41=0,"",IF(D41&lt;0.25*C12,"Calcolabile col Metodo del DM 10/77","Da calcolare con Perizia Estimativa"))</f>
      </c>
      <c r="F41" s="228"/>
      <c r="G41" s="229"/>
      <c r="H41" s="198"/>
      <c r="I41" s="230" t="s">
        <v>117</v>
      </c>
      <c r="J41" s="231" t="s">
        <v>118</v>
      </c>
    </row>
    <row r="42" spans="1:10" ht="9.75" customHeight="1">
      <c r="A42" s="216"/>
      <c r="B42" s="198"/>
      <c r="C42" s="198"/>
      <c r="D42" s="198"/>
      <c r="E42" s="198"/>
      <c r="F42" s="198"/>
      <c r="G42" s="198"/>
      <c r="H42" s="198"/>
      <c r="I42" s="232" t="s">
        <v>119</v>
      </c>
      <c r="J42" s="233" t="s">
        <v>120</v>
      </c>
    </row>
    <row r="43" spans="1:10" ht="12">
      <c r="A43" s="216"/>
      <c r="B43" s="198"/>
      <c r="C43" s="198"/>
      <c r="D43" s="465" t="s">
        <v>112</v>
      </c>
      <c r="E43" s="465"/>
      <c r="F43" s="465"/>
      <c r="G43" s="229" t="e">
        <f>IF(($G$12+$G$23+$G$35)&gt;15,SUM($G$12,$G$23,$G$35),"")</f>
        <v>#DIV/0!</v>
      </c>
      <c r="H43" s="198"/>
      <c r="I43" s="234" t="e">
        <f>IF($G$43="","",IF($G$43&lt;=20,"IV",IF($G$43&lt;=25,"V",IF($G$43&lt;=30,"VI",IF($G$43&lt;=35,"VII",IF($G$43&lt;=40,"VIII",IF($G$43&lt;=45,"IX",IF($G$43&lt;=50,"X","XI"))))))))</f>
        <v>#DIV/0!</v>
      </c>
      <c r="J43" s="235" t="e">
        <f>IF($G$43="","",IF($G$43&lt;=20,15,IF($G$43&lt;=25,20,IF($G$43&lt;=30,25,IF($G$43&lt;=35,30,IF($G$43&lt;=40,35,IF($G$43&lt;=45,40,IF($G$43&lt;=50,45,50))))))))</f>
        <v>#DIV/0!</v>
      </c>
    </row>
    <row r="44" spans="1:10" ht="12.75" thickBot="1">
      <c r="A44" s="216"/>
      <c r="B44" s="198"/>
      <c r="C44" s="198"/>
      <c r="D44" s="198"/>
      <c r="E44" s="198"/>
      <c r="F44" s="198"/>
      <c r="G44" s="176" t="e">
        <f>IF(($G$12+$G$23+$G$35)&lt;=15,SUM($G$12,$G$23,$G$35),"")</f>
        <v>#DIV/0!</v>
      </c>
      <c r="H44" s="198"/>
      <c r="I44" s="236" t="e">
        <f>IF($G$44&lt;=5,"I",IF($G$44&lt;=10,"II",IF($G$44&lt;=15,"III","")))</f>
        <v>#DIV/0!</v>
      </c>
      <c r="J44" s="237" t="e">
        <f>IF($G$44&lt;=5,0,IF($G$44&lt;=10,5,IF($G$44&lt;=15,10,"")))</f>
        <v>#DIV/0!</v>
      </c>
    </row>
    <row r="45" spans="1:10" ht="12.75" thickTop="1">
      <c r="A45" s="216"/>
      <c r="B45" s="198"/>
      <c r="C45" s="198"/>
      <c r="D45" s="198"/>
      <c r="E45" s="198"/>
      <c r="F45" s="198"/>
      <c r="G45" s="198"/>
      <c r="H45" s="198"/>
      <c r="I45" s="198"/>
      <c r="J45" s="238"/>
    </row>
    <row r="46" spans="1:10" ht="12">
      <c r="A46" s="239" t="s">
        <v>121</v>
      </c>
      <c r="B46" s="457" t="s">
        <v>368</v>
      </c>
      <c r="C46" s="457"/>
      <c r="D46" s="457"/>
      <c r="E46" s="457"/>
      <c r="F46" s="457"/>
      <c r="G46" s="457"/>
      <c r="H46" s="510">
        <v>0</v>
      </c>
      <c r="I46" s="198"/>
      <c r="J46" s="238"/>
    </row>
    <row r="47" spans="1:10" ht="12">
      <c r="A47" s="240"/>
      <c r="B47" s="241"/>
      <c r="C47" s="241"/>
      <c r="D47" s="241"/>
      <c r="E47" s="508" t="s">
        <v>369</v>
      </c>
      <c r="F47" s="508"/>
      <c r="G47" s="508"/>
      <c r="H47" s="509"/>
      <c r="I47" s="198"/>
      <c r="J47" s="238"/>
    </row>
    <row r="48" spans="1:10" ht="12">
      <c r="A48" s="239" t="s">
        <v>122</v>
      </c>
      <c r="B48" s="457" t="s">
        <v>123</v>
      </c>
      <c r="C48" s="457"/>
      <c r="D48" s="457"/>
      <c r="E48" s="457"/>
      <c r="F48" s="457"/>
      <c r="G48" s="457"/>
      <c r="H48" s="242" t="e">
        <f>H46*(1+IF(J43&lt;&gt;"",J43/100,0)+IF(J44&lt;&gt;"",J44/100,0))</f>
        <v>#DIV/0!</v>
      </c>
      <c r="I48" s="198"/>
      <c r="J48" s="238"/>
    </row>
    <row r="49" spans="1:10" ht="12">
      <c r="A49" s="240"/>
      <c r="B49" s="241"/>
      <c r="C49" s="241"/>
      <c r="D49" s="241"/>
      <c r="E49" s="241"/>
      <c r="F49" s="241"/>
      <c r="G49" s="241"/>
      <c r="H49" s="176"/>
      <c r="I49" s="198"/>
      <c r="J49" s="238"/>
    </row>
    <row r="50" spans="1:10" ht="12">
      <c r="A50" s="239" t="s">
        <v>124</v>
      </c>
      <c r="B50" s="457" t="s">
        <v>125</v>
      </c>
      <c r="C50" s="457"/>
      <c r="D50" s="457"/>
      <c r="E50" s="457"/>
      <c r="F50" s="457"/>
      <c r="G50" s="457"/>
      <c r="H50" s="243" t="e">
        <f>IF(D41&lt;C12/4,(D32+D41)*H48,D32*H48)</f>
        <v>#DIV/0!</v>
      </c>
      <c r="I50" s="198"/>
      <c r="J50" s="238"/>
    </row>
    <row r="51" spans="1:10" ht="12">
      <c r="A51" s="216"/>
      <c r="B51" s="198"/>
      <c r="C51" s="198"/>
      <c r="D51" s="198"/>
      <c r="E51" s="198"/>
      <c r="F51" s="198"/>
      <c r="G51" s="198"/>
      <c r="H51" s="198"/>
      <c r="I51" s="198"/>
      <c r="J51" s="238"/>
    </row>
    <row r="52" spans="1:10" ht="12">
      <c r="A52" s="458" t="s">
        <v>126</v>
      </c>
      <c r="B52" s="458"/>
      <c r="C52" s="458"/>
      <c r="D52" s="458"/>
      <c r="E52" s="197"/>
      <c r="F52" s="198"/>
      <c r="G52" s="198"/>
      <c r="H52" s="198"/>
      <c r="I52" s="198"/>
      <c r="J52" s="238"/>
    </row>
    <row r="53" spans="1:10" ht="12.75" thickBot="1">
      <c r="A53" s="173"/>
      <c r="B53" s="172"/>
      <c r="C53" s="172"/>
      <c r="D53" s="172"/>
      <c r="E53" s="197"/>
      <c r="F53" s="198"/>
      <c r="G53" s="198"/>
      <c r="H53" s="198"/>
      <c r="I53" s="198"/>
      <c r="J53" s="238"/>
    </row>
    <row r="54" spans="1:10" ht="12.75" thickBot="1">
      <c r="A54" s="173" t="s">
        <v>127</v>
      </c>
      <c r="B54" s="172"/>
      <c r="C54" s="172"/>
      <c r="D54" s="172"/>
      <c r="E54" s="197"/>
      <c r="F54" s="198"/>
      <c r="G54" s="198"/>
      <c r="H54" s="288" t="s">
        <v>346</v>
      </c>
      <c r="I54" s="198"/>
      <c r="J54" s="238"/>
    </row>
    <row r="55" spans="1:10" ht="12">
      <c r="A55" s="240" t="s">
        <v>128</v>
      </c>
      <c r="B55" s="197"/>
      <c r="C55" s="197"/>
      <c r="D55" s="197"/>
      <c r="E55" s="197"/>
      <c r="F55" s="198"/>
      <c r="G55" s="198"/>
      <c r="H55" s="198"/>
      <c r="I55" s="198"/>
      <c r="J55" s="238"/>
    </row>
    <row r="56" spans="4:10" ht="12">
      <c r="D56" s="379">
        <f>IF(AND(C12&lt;95,C21&lt;=40),0.07,IF(AND(C12&lt;95,C21&gt;40),0.07,IF(AND(C12&gt;=95,C12&lt;110,C21&lt;=45),0.07,IF(AND(C12&gt;=95,C12&lt;110,C21&gt;45),0.08,IF(AND(C12&gt;=110,C12&lt;130,C21&lt;=50),0.08,IF(AND(C12&gt;=110,C12&lt;130,C21&gt;50),0.08,0.08))))))</f>
        <v>0.07</v>
      </c>
      <c r="E56" s="379">
        <f>IF(AND(C12&gt;=130,C12&lt;=160,C21&lt;=55),0.08,IF(AND(C12&gt;=130,C12&lt;=160,C21&gt;55),0.09,IF(AND(C12&gt;160,C21&lt;=60),0.09,0.1)))</f>
        <v>0.1</v>
      </c>
      <c r="F56" s="198"/>
      <c r="G56" s="198"/>
      <c r="H56" s="198"/>
      <c r="I56" s="198"/>
      <c r="J56" s="238"/>
    </row>
    <row r="57" spans="1:10" ht="15">
      <c r="A57" s="459" t="s">
        <v>129</v>
      </c>
      <c r="B57" s="459"/>
      <c r="C57" s="459"/>
      <c r="D57" s="380">
        <f>IF(H54="SI",0.1,IF(C12&gt;=130,E56,D56))</f>
        <v>0.07</v>
      </c>
      <c r="E57" s="399" t="s">
        <v>130</v>
      </c>
      <c r="F57" s="399"/>
      <c r="G57" s="399" t="s">
        <v>353</v>
      </c>
      <c r="H57" s="399"/>
      <c r="I57" s="399"/>
      <c r="J57" s="399"/>
    </row>
    <row r="58" spans="1:10" ht="12">
      <c r="A58" s="244"/>
      <c r="B58" s="245"/>
      <c r="C58" s="245"/>
      <c r="D58" s="246"/>
      <c r="E58" s="198"/>
      <c r="F58" s="198"/>
      <c r="G58" s="198"/>
      <c r="H58" s="198"/>
      <c r="I58" s="198"/>
      <c r="J58" s="238"/>
    </row>
    <row r="59" spans="1:10" ht="12">
      <c r="A59" s="460" t="s">
        <v>131</v>
      </c>
      <c r="B59" s="460"/>
      <c r="C59" s="460"/>
      <c r="D59" s="247" t="e">
        <f>H50</f>
        <v>#DIV/0!</v>
      </c>
      <c r="I59" s="198"/>
      <c r="J59" s="238"/>
    </row>
    <row r="60" spans="1:10" ht="12">
      <c r="A60" s="244"/>
      <c r="B60" s="245"/>
      <c r="C60" s="245"/>
      <c r="D60" s="248"/>
      <c r="E60" s="198"/>
      <c r="F60" s="198"/>
      <c r="G60" s="198"/>
      <c r="H60" s="198"/>
      <c r="I60" s="198"/>
      <c r="J60" s="238"/>
    </row>
    <row r="61" spans="1:10" ht="12">
      <c r="A61" s="450" t="s">
        <v>132</v>
      </c>
      <c r="B61" s="450"/>
      <c r="C61" s="450"/>
      <c r="D61" s="249" t="e">
        <f>D59*D56</f>
        <v>#DIV/0!</v>
      </c>
      <c r="E61" s="250"/>
      <c r="F61" s="250"/>
      <c r="G61" s="250"/>
      <c r="H61" s="250"/>
      <c r="I61" s="250"/>
      <c r="J61" s="251"/>
    </row>
    <row r="62" spans="1:10" ht="12">
      <c r="A62" s="216"/>
      <c r="B62" s="198"/>
      <c r="C62" s="198"/>
      <c r="D62" s="198"/>
      <c r="E62" s="198"/>
      <c r="F62" s="198"/>
      <c r="G62" s="198"/>
      <c r="H62" s="198"/>
      <c r="I62" s="198"/>
      <c r="J62" s="238"/>
    </row>
    <row r="63" spans="1:10" ht="12">
      <c r="A63" s="451"/>
      <c r="B63" s="451"/>
      <c r="C63" s="451"/>
      <c r="D63" s="451"/>
      <c r="E63" s="451"/>
      <c r="F63" s="451"/>
      <c r="G63" s="452"/>
      <c r="H63" s="452"/>
      <c r="I63" s="453"/>
      <c r="J63" s="453"/>
    </row>
    <row r="64" spans="1:10" ht="12">
      <c r="A64" s="252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ht="12">
      <c r="A65" s="454"/>
      <c r="B65" s="454"/>
      <c r="C65" s="454"/>
      <c r="D65" s="253"/>
      <c r="E65" s="252"/>
      <c r="F65" s="455"/>
      <c r="G65" s="455"/>
      <c r="H65" s="455"/>
      <c r="I65" s="456"/>
      <c r="J65" s="456"/>
    </row>
    <row r="66" spans="1:10" ht="12">
      <c r="A66" s="254" t="s">
        <v>348</v>
      </c>
      <c r="H66" s="198"/>
      <c r="I66" s="255"/>
      <c r="J66" s="256"/>
    </row>
    <row r="67" spans="8:10" ht="12.75" thickBot="1">
      <c r="H67" s="198"/>
      <c r="I67" s="255"/>
      <c r="J67" s="256"/>
    </row>
    <row r="68" spans="1:12" ht="15" customHeight="1">
      <c r="A68" s="448">
        <v>0</v>
      </c>
      <c r="B68" s="171" t="s">
        <v>349</v>
      </c>
      <c r="K68" s="257"/>
      <c r="L68" s="257"/>
    </row>
    <row r="69" spans="1:12" ht="12.75" customHeight="1" thickBot="1">
      <c r="A69" s="449"/>
      <c r="B69" s="171" t="s">
        <v>133</v>
      </c>
      <c r="K69" s="257"/>
      <c r="L69" s="257"/>
    </row>
    <row r="70" spans="1:2" ht="12.75" thickBot="1">
      <c r="A70" s="198"/>
      <c r="B70" s="258"/>
    </row>
    <row r="71" spans="1:2" ht="15.75" thickBot="1">
      <c r="A71" s="400">
        <v>0</v>
      </c>
      <c r="B71" s="171" t="s">
        <v>350</v>
      </c>
    </row>
    <row r="72" spans="1:2" ht="12">
      <c r="A72" s="198"/>
      <c r="B72" s="171" t="s">
        <v>134</v>
      </c>
    </row>
    <row r="73" ht="12.75" thickBot="1">
      <c r="A73" s="198"/>
    </row>
    <row r="74" spans="1:2" ht="15.75" thickBot="1">
      <c r="A74" s="401">
        <v>0</v>
      </c>
      <c r="B74" s="171" t="s">
        <v>135</v>
      </c>
    </row>
    <row r="75" spans="1:10" ht="12">
      <c r="A75" s="198"/>
      <c r="B75" s="171" t="s">
        <v>136</v>
      </c>
      <c r="C75" s="259"/>
      <c r="D75" s="259"/>
      <c r="E75" s="258"/>
      <c r="F75" s="259"/>
      <c r="G75" s="259"/>
      <c r="H75" s="259"/>
      <c r="I75" s="259"/>
      <c r="J75" s="259"/>
    </row>
    <row r="76" spans="2:10" ht="12">
      <c r="B76" s="171" t="s">
        <v>137</v>
      </c>
      <c r="C76" s="259"/>
      <c r="D76" s="259"/>
      <c r="E76" s="258"/>
      <c r="F76" s="259"/>
      <c r="G76" s="259"/>
      <c r="H76" s="259"/>
      <c r="I76" s="259"/>
      <c r="J76" s="259"/>
    </row>
    <row r="77" spans="2:12" ht="12">
      <c r="B77" s="171" t="s">
        <v>138</v>
      </c>
      <c r="K77" s="259"/>
      <c r="L77" s="259"/>
    </row>
    <row r="78" spans="2:12" ht="12">
      <c r="B78" s="171" t="s">
        <v>139</v>
      </c>
      <c r="K78" s="259"/>
      <c r="L78" s="259"/>
    </row>
    <row r="79" ht="12">
      <c r="B79" s="171" t="s">
        <v>140</v>
      </c>
    </row>
    <row r="80" ht="12">
      <c r="B80" s="171" t="s">
        <v>141</v>
      </c>
    </row>
    <row r="81" ht="12">
      <c r="B81" s="171" t="s">
        <v>142</v>
      </c>
    </row>
    <row r="82" ht="12">
      <c r="B82" s="171" t="s">
        <v>143</v>
      </c>
    </row>
    <row r="83" ht="12">
      <c r="B83" s="171" t="s">
        <v>144</v>
      </c>
    </row>
    <row r="84" ht="12.75" thickBot="1"/>
    <row r="85" spans="1:2" ht="12.75" thickBot="1">
      <c r="A85" s="261"/>
      <c r="B85" s="171" t="s">
        <v>145</v>
      </c>
    </row>
    <row r="86" ht="12.75" thickBot="1"/>
    <row r="87" spans="1:2" ht="15.75" thickBot="1">
      <c r="A87" s="262"/>
      <c r="B87" s="171" t="s">
        <v>146</v>
      </c>
    </row>
  </sheetData>
  <sheetProtection/>
  <mergeCells count="32">
    <mergeCell ref="A3:J3"/>
    <mergeCell ref="A14:C14"/>
    <mergeCell ref="A15:B15"/>
    <mergeCell ref="F15:H16"/>
    <mergeCell ref="A16:B16"/>
    <mergeCell ref="A17:B17"/>
    <mergeCell ref="A18:B18"/>
    <mergeCell ref="A19:B19"/>
    <mergeCell ref="A20:B20"/>
    <mergeCell ref="A26:D26"/>
    <mergeCell ref="F26:H26"/>
    <mergeCell ref="A27:B27"/>
    <mergeCell ref="A28:B28"/>
    <mergeCell ref="A35:D35"/>
    <mergeCell ref="A36:B36"/>
    <mergeCell ref="A37:B37"/>
    <mergeCell ref="F37:H37"/>
    <mergeCell ref="D43:F43"/>
    <mergeCell ref="B46:G46"/>
    <mergeCell ref="B48:G48"/>
    <mergeCell ref="B50:G50"/>
    <mergeCell ref="A52:D52"/>
    <mergeCell ref="A57:C57"/>
    <mergeCell ref="A59:C59"/>
    <mergeCell ref="A68:A69"/>
    <mergeCell ref="A61:C61"/>
    <mergeCell ref="A63:F63"/>
    <mergeCell ref="G63:H63"/>
    <mergeCell ref="I63:J63"/>
    <mergeCell ref="A65:C65"/>
    <mergeCell ref="F65:H65"/>
    <mergeCell ref="I65:J65"/>
  </mergeCells>
  <printOptions gridLines="1"/>
  <pageMargins left="0.3798611111111111" right="0.35" top="0.9840277777777777" bottom="0.42986111111111114" header="0.5" footer="0.42986111111111114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3"/>
  <dimension ref="A1:L87"/>
  <sheetViews>
    <sheetView zoomScale="140" zoomScaleNormal="140" zoomScalePageLayoutView="0" workbookViewId="0" topLeftCell="A37">
      <selection activeCell="H46" sqref="B46:H47"/>
    </sheetView>
  </sheetViews>
  <sheetFormatPr defaultColWidth="9.140625" defaultRowHeight="12.75"/>
  <cols>
    <col min="1" max="1" width="9.8515625" style="171" customWidth="1"/>
    <col min="2" max="3" width="10.57421875" style="171" customWidth="1"/>
    <col min="4" max="4" width="13.421875" style="171" customWidth="1"/>
    <col min="5" max="5" width="8.421875" style="171" customWidth="1"/>
    <col min="6" max="6" width="10.421875" style="171" customWidth="1"/>
    <col min="7" max="7" width="8.00390625" style="171" customWidth="1"/>
    <col min="8" max="8" width="12.28125" style="171" customWidth="1"/>
    <col min="9" max="9" width="5.421875" style="171" customWidth="1"/>
    <col min="10" max="10" width="5.7109375" style="171" customWidth="1"/>
    <col min="11" max="16384" width="9.140625" style="171" customWidth="1"/>
  </cols>
  <sheetData>
    <row r="1" spans="2:10" ht="12">
      <c r="B1" s="172"/>
      <c r="C1" s="172"/>
      <c r="D1" s="172" t="s">
        <v>40</v>
      </c>
      <c r="E1" s="172"/>
      <c r="F1" s="172"/>
      <c r="G1" s="172"/>
      <c r="H1" s="172"/>
      <c r="I1" s="172"/>
      <c r="J1" s="174"/>
    </row>
    <row r="2" spans="1:10" ht="12">
      <c r="A2" s="175"/>
      <c r="B2" s="176"/>
      <c r="C2" s="177"/>
      <c r="D2" s="178" t="s">
        <v>41</v>
      </c>
      <c r="F2" s="176"/>
      <c r="G2" s="176"/>
      <c r="H2" s="176"/>
      <c r="I2" s="176"/>
      <c r="J2" s="179"/>
    </row>
    <row r="3" spans="1:10" ht="16.5" customHeight="1" thickBot="1">
      <c r="A3" s="472" t="s">
        <v>42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12.75" thickBot="1">
      <c r="A4" s="177"/>
      <c r="B4" s="180" t="s">
        <v>43</v>
      </c>
      <c r="C4" s="177"/>
      <c r="D4" s="181">
        <v>0</v>
      </c>
      <c r="E4" s="176"/>
      <c r="F4" s="176"/>
      <c r="G4" s="176"/>
      <c r="H4" s="176"/>
      <c r="I4" s="176"/>
      <c r="J4" s="260"/>
    </row>
    <row r="5" spans="1:10" ht="44.25" customHeight="1">
      <c r="A5" s="264" t="s">
        <v>44</v>
      </c>
      <c r="B5" s="265" t="s">
        <v>45</v>
      </c>
      <c r="C5" s="266" t="s">
        <v>46</v>
      </c>
      <c r="D5" s="266" t="s">
        <v>47</v>
      </c>
      <c r="E5" s="266" t="s">
        <v>48</v>
      </c>
      <c r="F5" s="266" t="s">
        <v>49</v>
      </c>
      <c r="G5" s="267"/>
      <c r="H5" s="267"/>
      <c r="I5" s="267"/>
      <c r="J5" s="268"/>
    </row>
    <row r="6" spans="1:10" ht="15" customHeight="1">
      <c r="A6" s="269" t="s">
        <v>50</v>
      </c>
      <c r="B6" s="270" t="s">
        <v>51</v>
      </c>
      <c r="C6" s="270" t="s">
        <v>52</v>
      </c>
      <c r="D6" s="270" t="s">
        <v>53</v>
      </c>
      <c r="E6" s="270" t="s">
        <v>54</v>
      </c>
      <c r="F6" s="271" t="s">
        <v>55</v>
      </c>
      <c r="G6" s="272"/>
      <c r="H6" s="272"/>
      <c r="I6" s="272"/>
      <c r="J6" s="273"/>
    </row>
    <row r="7" spans="1:10" ht="12">
      <c r="A7" s="274" t="s">
        <v>56</v>
      </c>
      <c r="B7" s="275">
        <f>IF($D$4&lt;95,1,"")</f>
        <v>1</v>
      </c>
      <c r="C7" s="275">
        <f>IF($D$4&lt;=95,$D$4,0)</f>
        <v>0</v>
      </c>
      <c r="D7" s="275" t="e">
        <f>C7/C12</f>
        <v>#DIV/0!</v>
      </c>
      <c r="E7" s="275">
        <v>0</v>
      </c>
      <c r="F7" s="275" t="e">
        <f>D7*E7</f>
        <v>#DIV/0!</v>
      </c>
      <c r="G7" s="272"/>
      <c r="H7" s="272"/>
      <c r="I7" s="272"/>
      <c r="J7" s="273"/>
    </row>
    <row r="8" spans="1:10" ht="12">
      <c r="A8" s="274" t="s">
        <v>57</v>
      </c>
      <c r="B8" s="275">
        <f>IF(AND($D$4&gt;=95,$D$4&lt;110),1,"")</f>
      </c>
      <c r="C8" s="275">
        <f>IF(AND($D$4&gt;95,$D$4&lt;=110),$D$4,0)</f>
        <v>0</v>
      </c>
      <c r="D8" s="275" t="e">
        <f>C8/C12</f>
        <v>#DIV/0!</v>
      </c>
      <c r="E8" s="275">
        <v>5</v>
      </c>
      <c r="F8" s="275" t="e">
        <f>D8*E8</f>
        <v>#DIV/0!</v>
      </c>
      <c r="G8" s="272"/>
      <c r="H8" s="272"/>
      <c r="I8" s="272"/>
      <c r="J8" s="273"/>
    </row>
    <row r="9" spans="1:10" ht="12">
      <c r="A9" s="274" t="s">
        <v>58</v>
      </c>
      <c r="B9" s="275">
        <f>IF(AND($D$4&gt;=110,$D$4&lt;130),1,"")</f>
      </c>
      <c r="C9" s="275">
        <f>IF(AND($D$4&gt;110,$D$4&lt;=130),$D$4,0)</f>
        <v>0</v>
      </c>
      <c r="D9" s="275" t="e">
        <f>C9/C12</f>
        <v>#DIV/0!</v>
      </c>
      <c r="E9" s="275">
        <v>15</v>
      </c>
      <c r="F9" s="275" t="e">
        <f>D9*E9</f>
        <v>#DIV/0!</v>
      </c>
      <c r="G9" s="272"/>
      <c r="H9" s="272"/>
      <c r="I9" s="272"/>
      <c r="J9" s="273"/>
    </row>
    <row r="10" spans="1:10" ht="12">
      <c r="A10" s="274" t="s">
        <v>59</v>
      </c>
      <c r="B10" s="275">
        <f>IF(AND($D$4&gt;=130,$D$4&lt;160),1,"")</f>
      </c>
      <c r="C10" s="275">
        <f>IF(AND($D$4&gt;130,$D$4&lt;=160),$D$4,0)</f>
        <v>0</v>
      </c>
      <c r="D10" s="275" t="e">
        <f>C10/C12</f>
        <v>#DIV/0!</v>
      </c>
      <c r="E10" s="275">
        <v>30</v>
      </c>
      <c r="F10" s="275" t="e">
        <f>D10*E10</f>
        <v>#DIV/0!</v>
      </c>
      <c r="G10" s="272"/>
      <c r="H10" s="272"/>
      <c r="I10" s="272"/>
      <c r="J10" s="273"/>
    </row>
    <row r="11" spans="1:10" ht="12">
      <c r="A11" s="274" t="s">
        <v>60</v>
      </c>
      <c r="B11" s="275">
        <f>IF($D$4&gt;160,1,"")</f>
      </c>
      <c r="C11" s="275">
        <f>IF($D$4&gt;160,$D$4,0)</f>
        <v>0</v>
      </c>
      <c r="D11" s="275" t="e">
        <f>C11/C12</f>
        <v>#DIV/0!</v>
      </c>
      <c r="E11" s="275">
        <v>50</v>
      </c>
      <c r="F11" s="275" t="e">
        <f>D11*E11</f>
        <v>#DIV/0!</v>
      </c>
      <c r="G11" s="272"/>
      <c r="H11" s="272"/>
      <c r="I11" s="272"/>
      <c r="J11" s="273"/>
    </row>
    <row r="12" spans="1:10" ht="12">
      <c r="A12" s="276"/>
      <c r="B12" s="277" t="s">
        <v>61</v>
      </c>
      <c r="C12" s="275">
        <f>SUM(C7:C11)</f>
        <v>0</v>
      </c>
      <c r="D12" s="272"/>
      <c r="E12" s="272"/>
      <c r="F12" s="272" t="s">
        <v>62</v>
      </c>
      <c r="G12" s="275" t="e">
        <f>SUM(F7:F11)</f>
        <v>#DIV/0!</v>
      </c>
      <c r="H12" s="272"/>
      <c r="I12" s="272"/>
      <c r="J12" s="273"/>
    </row>
    <row r="13" spans="1:10" ht="12.75" thickBot="1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43.5" customHeight="1">
      <c r="A14" s="474" t="s">
        <v>63</v>
      </c>
      <c r="B14" s="475"/>
      <c r="C14" s="475"/>
      <c r="D14" s="182"/>
      <c r="E14" s="182"/>
      <c r="F14" s="182"/>
      <c r="G14" s="182"/>
      <c r="H14" s="182"/>
      <c r="I14" s="182"/>
      <c r="J14" s="183"/>
    </row>
    <row r="15" spans="1:10" ht="33" customHeight="1">
      <c r="A15" s="476" t="s">
        <v>64</v>
      </c>
      <c r="B15" s="477"/>
      <c r="C15" s="281" t="s">
        <v>65</v>
      </c>
      <c r="D15" s="184"/>
      <c r="E15" s="184"/>
      <c r="F15" s="478" t="s">
        <v>66</v>
      </c>
      <c r="G15" s="478"/>
      <c r="H15" s="478"/>
      <c r="I15" s="184"/>
      <c r="J15" s="185"/>
    </row>
    <row r="16" spans="1:10" ht="10.5" customHeight="1">
      <c r="A16" s="479" t="s">
        <v>67</v>
      </c>
      <c r="B16" s="480"/>
      <c r="C16" s="282" t="s">
        <v>68</v>
      </c>
      <c r="D16" s="283"/>
      <c r="E16" s="184"/>
      <c r="F16" s="478"/>
      <c r="G16" s="478"/>
      <c r="H16" s="478"/>
      <c r="I16" s="184"/>
      <c r="J16" s="185"/>
    </row>
    <row r="17" spans="1:10" ht="50.25" customHeight="1">
      <c r="A17" s="481" t="s">
        <v>69</v>
      </c>
      <c r="B17" s="482"/>
      <c r="C17" s="186">
        <v>0</v>
      </c>
      <c r="D17" s="184"/>
      <c r="E17" s="184"/>
      <c r="F17" s="284" t="s">
        <v>70</v>
      </c>
      <c r="G17" s="284" t="s">
        <v>71</v>
      </c>
      <c r="H17" s="284" t="s">
        <v>72</v>
      </c>
      <c r="I17" s="184"/>
      <c r="J17" s="185"/>
    </row>
    <row r="18" spans="1:10" ht="24.75" customHeight="1">
      <c r="A18" s="466" t="s">
        <v>73</v>
      </c>
      <c r="B18" s="467"/>
      <c r="C18" s="186">
        <v>0</v>
      </c>
      <c r="D18" s="184"/>
      <c r="E18" s="184"/>
      <c r="F18" s="282" t="s">
        <v>74</v>
      </c>
      <c r="G18" s="282" t="s">
        <v>75</v>
      </c>
      <c r="H18" s="282" t="s">
        <v>76</v>
      </c>
      <c r="I18" s="184"/>
      <c r="J18" s="185"/>
    </row>
    <row r="19" spans="1:10" ht="12.75" customHeight="1">
      <c r="A19" s="466" t="s">
        <v>77</v>
      </c>
      <c r="B19" s="467"/>
      <c r="C19" s="186">
        <v>0</v>
      </c>
      <c r="D19" s="184"/>
      <c r="E19" s="184"/>
      <c r="F19" s="187" t="s">
        <v>78</v>
      </c>
      <c r="G19" s="187" t="e">
        <f>IF(E21&lt;=50,"X",0)</f>
        <v>#DIV/0!</v>
      </c>
      <c r="H19" s="187">
        <v>0</v>
      </c>
      <c r="I19" s="184"/>
      <c r="J19" s="185"/>
    </row>
    <row r="20" spans="1:10" ht="12.75" customHeight="1">
      <c r="A20" s="468" t="s">
        <v>79</v>
      </c>
      <c r="B20" s="469"/>
      <c r="C20" s="285"/>
      <c r="D20" s="184"/>
      <c r="E20" s="184"/>
      <c r="F20" s="187" t="s">
        <v>80</v>
      </c>
      <c r="G20" s="187" t="e">
        <f>IF(E21&gt;50,IF(E21&lt;=75,"X",0),0)</f>
        <v>#DIV/0!</v>
      </c>
      <c r="H20" s="187">
        <v>10</v>
      </c>
      <c r="I20" s="184"/>
      <c r="J20" s="185"/>
    </row>
    <row r="21" spans="1:10" ht="12">
      <c r="A21" s="188"/>
      <c r="B21" s="189" t="s">
        <v>81</v>
      </c>
      <c r="C21" s="187">
        <f>SUM(C17:C20)</f>
        <v>0</v>
      </c>
      <c r="D21" s="190" t="s">
        <v>82</v>
      </c>
      <c r="E21" s="190" t="e">
        <f>C21/C12*100</f>
        <v>#DIV/0!</v>
      </c>
      <c r="F21" s="187" t="s">
        <v>83</v>
      </c>
      <c r="G21" s="187" t="e">
        <f>IF(E21&gt;75,IF(E21&lt;=100,"X",0),0)</f>
        <v>#DIV/0!</v>
      </c>
      <c r="H21" s="187">
        <v>20</v>
      </c>
      <c r="I21" s="184"/>
      <c r="J21" s="185"/>
    </row>
    <row r="22" spans="1:10" ht="12">
      <c r="A22" s="191"/>
      <c r="B22" s="184"/>
      <c r="C22" s="184"/>
      <c r="D22" s="184"/>
      <c r="E22" s="184"/>
      <c r="F22" s="187" t="s">
        <v>84</v>
      </c>
      <c r="G22" s="187" t="e">
        <f>IF(E21&gt;100,"X",0)</f>
        <v>#DIV/0!</v>
      </c>
      <c r="H22" s="187">
        <v>30</v>
      </c>
      <c r="I22" s="184"/>
      <c r="J22" s="185"/>
    </row>
    <row r="23" spans="1:10" ht="12.75" thickBot="1">
      <c r="A23" s="192"/>
      <c r="B23" s="193"/>
      <c r="C23" s="193"/>
      <c r="D23" s="193"/>
      <c r="E23" s="193"/>
      <c r="F23" s="194" t="s">
        <v>85</v>
      </c>
      <c r="G23" s="195" t="e">
        <f>IF(E21&lt;=50,0,IF(E21&lt;=75,10,IF(E21&lt;=100,20,30)))</f>
        <v>#DIV/0!</v>
      </c>
      <c r="H23" s="193"/>
      <c r="I23" s="193"/>
      <c r="J23" s="196"/>
    </row>
    <row r="24" spans="1:10" ht="12">
      <c r="A24" s="197" t="s">
        <v>86</v>
      </c>
      <c r="B24" s="197"/>
      <c r="C24" s="197"/>
      <c r="D24" s="197"/>
      <c r="E24" s="198"/>
      <c r="F24" s="199"/>
      <c r="G24" s="200"/>
      <c r="H24" s="201"/>
      <c r="I24" s="201"/>
      <c r="J24" s="202"/>
    </row>
    <row r="25" spans="1:10" ht="12">
      <c r="A25" s="203" t="s">
        <v>87</v>
      </c>
      <c r="B25" s="197"/>
      <c r="C25" s="197"/>
      <c r="D25" s="197"/>
      <c r="E25" s="198"/>
      <c r="F25" s="204"/>
      <c r="G25" s="201"/>
      <c r="H25" s="201"/>
      <c r="I25" s="201"/>
      <c r="J25" s="202"/>
    </row>
    <row r="26" spans="1:10" ht="39.75" customHeight="1">
      <c r="A26" s="470" t="s">
        <v>88</v>
      </c>
      <c r="B26" s="470"/>
      <c r="C26" s="470"/>
      <c r="D26" s="470"/>
      <c r="E26" s="198"/>
      <c r="F26" s="471" t="s">
        <v>89</v>
      </c>
      <c r="G26" s="471"/>
      <c r="H26" s="471"/>
      <c r="I26" s="201"/>
      <c r="J26" s="202"/>
    </row>
    <row r="27" spans="1:10" ht="36">
      <c r="A27" s="463" t="s">
        <v>90</v>
      </c>
      <c r="B27" s="463"/>
      <c r="C27" s="205" t="s">
        <v>91</v>
      </c>
      <c r="D27" s="205" t="s">
        <v>92</v>
      </c>
      <c r="E27" s="198"/>
      <c r="F27" s="206" t="s">
        <v>93</v>
      </c>
      <c r="G27" s="207" t="s">
        <v>71</v>
      </c>
      <c r="H27" s="208" t="s">
        <v>72</v>
      </c>
      <c r="I27" s="201"/>
      <c r="J27" s="202"/>
    </row>
    <row r="28" spans="1:10" ht="12">
      <c r="A28" s="461" t="s">
        <v>94</v>
      </c>
      <c r="B28" s="461"/>
      <c r="C28" s="209" t="s">
        <v>95</v>
      </c>
      <c r="D28" s="209" t="s">
        <v>96</v>
      </c>
      <c r="E28" s="198"/>
      <c r="F28" s="210" t="s">
        <v>97</v>
      </c>
      <c r="G28" s="211" t="s">
        <v>98</v>
      </c>
      <c r="H28" s="211" t="s">
        <v>99</v>
      </c>
      <c r="I28" s="201"/>
      <c r="J28" s="202"/>
    </row>
    <row r="29" spans="1:10" ht="12">
      <c r="A29" s="205">
        <v>1</v>
      </c>
      <c r="B29" s="212" t="s">
        <v>100</v>
      </c>
      <c r="C29" s="213" t="s">
        <v>101</v>
      </c>
      <c r="D29" s="286">
        <f>C12</f>
        <v>0</v>
      </c>
      <c r="E29" s="198"/>
      <c r="F29" s="263">
        <v>0</v>
      </c>
      <c r="G29" s="289">
        <v>0</v>
      </c>
      <c r="H29" s="208">
        <v>0</v>
      </c>
      <c r="I29" s="201"/>
      <c r="J29" s="202"/>
    </row>
    <row r="30" spans="1:10" ht="15">
      <c r="A30" s="205">
        <v>2</v>
      </c>
      <c r="B30" s="212" t="s">
        <v>102</v>
      </c>
      <c r="C30" s="213" t="s">
        <v>103</v>
      </c>
      <c r="D30" s="287">
        <f>C21</f>
        <v>0</v>
      </c>
      <c r="E30" s="198"/>
      <c r="F30" s="263">
        <v>1</v>
      </c>
      <c r="G30" s="289">
        <v>0</v>
      </c>
      <c r="H30" s="208">
        <v>10</v>
      </c>
      <c r="I30" s="201"/>
      <c r="J30" s="202"/>
    </row>
    <row r="31" spans="1:10" ht="15">
      <c r="A31" s="205">
        <v>3</v>
      </c>
      <c r="B31" s="212" t="s">
        <v>104</v>
      </c>
      <c r="C31" s="213" t="s">
        <v>105</v>
      </c>
      <c r="D31" s="214">
        <f>D30*0.6</f>
        <v>0</v>
      </c>
      <c r="E31" s="198"/>
      <c r="F31" s="263">
        <v>2</v>
      </c>
      <c r="G31" s="289">
        <v>0</v>
      </c>
      <c r="H31" s="208">
        <v>20</v>
      </c>
      <c r="I31" s="201"/>
      <c r="J31" s="202"/>
    </row>
    <row r="32" spans="1:10" ht="12">
      <c r="A32" s="205" t="s">
        <v>106</v>
      </c>
      <c r="B32" s="212" t="s">
        <v>107</v>
      </c>
      <c r="C32" s="213" t="s">
        <v>108</v>
      </c>
      <c r="D32" s="215">
        <f>D29+D31</f>
        <v>0</v>
      </c>
      <c r="E32" s="198"/>
      <c r="F32" s="263">
        <v>3</v>
      </c>
      <c r="G32" s="289">
        <v>0</v>
      </c>
      <c r="H32" s="208">
        <v>30</v>
      </c>
      <c r="I32" s="201"/>
      <c r="J32" s="202"/>
    </row>
    <row r="33" spans="1:10" ht="12">
      <c r="A33" s="216"/>
      <c r="B33" s="198"/>
      <c r="C33" s="198"/>
      <c r="D33" s="198"/>
      <c r="E33" s="198"/>
      <c r="F33" s="263">
        <v>4</v>
      </c>
      <c r="G33" s="289">
        <v>0</v>
      </c>
      <c r="H33" s="208">
        <v>40</v>
      </c>
      <c r="I33" s="201"/>
      <c r="J33" s="202"/>
    </row>
    <row r="34" spans="1:10" ht="12">
      <c r="A34" s="203" t="s">
        <v>109</v>
      </c>
      <c r="B34" s="198"/>
      <c r="C34" s="198"/>
      <c r="D34" s="198"/>
      <c r="E34" s="198"/>
      <c r="F34" s="263">
        <v>5</v>
      </c>
      <c r="G34" s="289">
        <v>0</v>
      </c>
      <c r="H34" s="208">
        <v>50</v>
      </c>
      <c r="I34" s="201"/>
      <c r="J34" s="202"/>
    </row>
    <row r="35" spans="1:10" ht="24.75" customHeight="1">
      <c r="A35" s="462" t="s">
        <v>110</v>
      </c>
      <c r="B35" s="462"/>
      <c r="C35" s="462"/>
      <c r="D35" s="462"/>
      <c r="E35" s="198"/>
      <c r="F35" s="199" t="s">
        <v>111</v>
      </c>
      <c r="G35" s="208">
        <f>IF(G30&lt;&gt;0,10,IF(G31&lt;&gt;0,20,IF(G32&lt;&gt;0,30,IF(G33&lt;&gt;0,40,IF(G34&lt;&gt;0,50,0)))))</f>
        <v>0</v>
      </c>
      <c r="H35" s="201"/>
      <c r="I35" s="217"/>
      <c r="J35" s="202"/>
    </row>
    <row r="36" spans="1:10" ht="11.25" customHeight="1">
      <c r="A36" s="463" t="s">
        <v>90</v>
      </c>
      <c r="B36" s="463"/>
      <c r="C36" s="205" t="s">
        <v>91</v>
      </c>
      <c r="D36" s="205" t="s">
        <v>92</v>
      </c>
      <c r="E36" s="198"/>
      <c r="F36" s="199"/>
      <c r="G36" s="200"/>
      <c r="H36" s="201"/>
      <c r="I36" s="218"/>
      <c r="J36" s="219"/>
    </row>
    <row r="37" spans="1:10" ht="12" customHeight="1">
      <c r="A37" s="461" t="s">
        <v>94</v>
      </c>
      <c r="B37" s="461"/>
      <c r="C37" s="209" t="s">
        <v>95</v>
      </c>
      <c r="D37" s="209" t="s">
        <v>96</v>
      </c>
      <c r="E37" s="198"/>
      <c r="F37" s="464" t="s">
        <v>112</v>
      </c>
      <c r="G37" s="464"/>
      <c r="H37" s="464"/>
      <c r="I37" s="220" t="e">
        <f>IF(($G$12+$G$23+$G$35)&gt;15,SUM($G$12,$G$23,$G$35),"")</f>
        <v>#DIV/0!</v>
      </c>
      <c r="J37" s="219"/>
    </row>
    <row r="38" spans="1:10" ht="14.25" customHeight="1">
      <c r="A38" s="205">
        <v>1</v>
      </c>
      <c r="B38" s="212" t="s">
        <v>113</v>
      </c>
      <c r="C38" s="213" t="s">
        <v>101</v>
      </c>
      <c r="D38" s="290">
        <v>0</v>
      </c>
      <c r="E38" s="198"/>
      <c r="F38" s="204"/>
      <c r="G38" s="201"/>
      <c r="H38" s="201"/>
      <c r="I38" s="221" t="e">
        <f>IF(($G$12+$G$23+$G$35)&lt;=15,SUM($G$12,$G$23,$G$35),"")</f>
        <v>#DIV/0!</v>
      </c>
      <c r="J38" s="219"/>
    </row>
    <row r="39" spans="1:10" ht="13.5" customHeight="1">
      <c r="A39" s="205">
        <v>2</v>
      </c>
      <c r="B39" s="212" t="s">
        <v>114</v>
      </c>
      <c r="C39" s="213" t="s">
        <v>103</v>
      </c>
      <c r="D39" s="290">
        <v>0</v>
      </c>
      <c r="E39" s="198"/>
      <c r="F39" s="199"/>
      <c r="G39" s="200"/>
      <c r="H39" s="201"/>
      <c r="I39" s="218"/>
      <c r="J39" s="219"/>
    </row>
    <row r="40" spans="1:10" ht="12.75" customHeight="1" thickBot="1">
      <c r="A40" s="205">
        <v>3</v>
      </c>
      <c r="B40" s="212" t="s">
        <v>115</v>
      </c>
      <c r="C40" s="213" t="s">
        <v>105</v>
      </c>
      <c r="D40" s="205">
        <f>D39*0.6</f>
        <v>0</v>
      </c>
      <c r="E40" s="198"/>
      <c r="F40" s="222"/>
      <c r="G40" s="223"/>
      <c r="H40" s="224"/>
      <c r="I40" s="218"/>
      <c r="J40" s="225"/>
    </row>
    <row r="41" spans="1:10" ht="27" customHeight="1" thickTop="1">
      <c r="A41" s="205" t="s">
        <v>106</v>
      </c>
      <c r="B41" s="212" t="s">
        <v>116</v>
      </c>
      <c r="C41" s="213" t="s">
        <v>108</v>
      </c>
      <c r="D41" s="226">
        <f>D38+D40</f>
        <v>0</v>
      </c>
      <c r="E41" s="227">
        <f>IF(D41=0,"",IF(D41&lt;0.25*C12,"Calcolabile col Metodo del DM 10/77","Da calcolare con Perizia Estimativa"))</f>
      </c>
      <c r="F41" s="228"/>
      <c r="G41" s="229"/>
      <c r="H41" s="198"/>
      <c r="I41" s="230" t="s">
        <v>117</v>
      </c>
      <c r="J41" s="231" t="s">
        <v>118</v>
      </c>
    </row>
    <row r="42" spans="1:10" ht="9.75" customHeight="1">
      <c r="A42" s="216"/>
      <c r="B42" s="198"/>
      <c r="C42" s="198"/>
      <c r="D42" s="198"/>
      <c r="E42" s="198"/>
      <c r="F42" s="198"/>
      <c r="G42" s="198"/>
      <c r="H42" s="198"/>
      <c r="I42" s="232" t="s">
        <v>119</v>
      </c>
      <c r="J42" s="233" t="s">
        <v>120</v>
      </c>
    </row>
    <row r="43" spans="1:10" ht="12">
      <c r="A43" s="216"/>
      <c r="B43" s="198"/>
      <c r="C43" s="198"/>
      <c r="D43" s="465" t="s">
        <v>112</v>
      </c>
      <c r="E43" s="465"/>
      <c r="F43" s="465"/>
      <c r="G43" s="229" t="e">
        <f>IF(($G$12+$G$23+$G$35)&gt;15,SUM($G$12,$G$23,$G$35),"")</f>
        <v>#DIV/0!</v>
      </c>
      <c r="H43" s="198"/>
      <c r="I43" s="234" t="e">
        <f>IF($G$43="","",IF($G$43&lt;=20,"IV",IF($G$43&lt;=25,"V",IF($G$43&lt;=30,"VI",IF($G$43&lt;=35,"VII",IF($G$43&lt;=40,"VIII",IF($G$43&lt;=45,"IX",IF($G$43&lt;=50,"X","XI"))))))))</f>
        <v>#DIV/0!</v>
      </c>
      <c r="J43" s="235" t="e">
        <f>IF($G$43="","",IF($G$43&lt;=20,15,IF($G$43&lt;=25,20,IF($G$43&lt;=30,25,IF($G$43&lt;=35,30,IF($G$43&lt;=40,35,IF($G$43&lt;=45,40,IF($G$43&lt;=50,45,50))))))))</f>
        <v>#DIV/0!</v>
      </c>
    </row>
    <row r="44" spans="1:10" ht="12.75" thickBot="1">
      <c r="A44" s="216"/>
      <c r="B44" s="198"/>
      <c r="C44" s="198"/>
      <c r="D44" s="198"/>
      <c r="E44" s="198"/>
      <c r="F44" s="198"/>
      <c r="G44" s="176" t="e">
        <f>IF(($G$12+$G$23+$G$35)&lt;=15,SUM($G$12,$G$23,$G$35),"")</f>
        <v>#DIV/0!</v>
      </c>
      <c r="H44" s="198"/>
      <c r="I44" s="236" t="e">
        <f>IF($G$44&lt;=5,"I",IF($G$44&lt;=10,"II",IF($G$44&lt;=15,"III","")))</f>
        <v>#DIV/0!</v>
      </c>
      <c r="J44" s="237" t="e">
        <f>IF($G$44&lt;=5,0,IF($G$44&lt;=10,5,IF($G$44&lt;=15,10,"")))</f>
        <v>#DIV/0!</v>
      </c>
    </row>
    <row r="45" spans="1:10" ht="12.75" thickTop="1">
      <c r="A45" s="216"/>
      <c r="B45" s="198"/>
      <c r="C45" s="198"/>
      <c r="D45" s="198"/>
      <c r="E45" s="198"/>
      <c r="F45" s="198"/>
      <c r="G45" s="198"/>
      <c r="H45" s="198"/>
      <c r="I45" s="198"/>
      <c r="J45" s="238"/>
    </row>
    <row r="46" spans="1:10" ht="12">
      <c r="A46" s="239" t="s">
        <v>121</v>
      </c>
      <c r="B46" s="457" t="s">
        <v>368</v>
      </c>
      <c r="C46" s="457"/>
      <c r="D46" s="457"/>
      <c r="E46" s="457"/>
      <c r="F46" s="457"/>
      <c r="G46" s="457"/>
      <c r="H46" s="510">
        <v>0</v>
      </c>
      <c r="I46" s="198"/>
      <c r="J46" s="238"/>
    </row>
    <row r="47" spans="1:10" ht="12">
      <c r="A47" s="240"/>
      <c r="B47" s="241"/>
      <c r="C47" s="241"/>
      <c r="D47" s="241"/>
      <c r="E47" s="508" t="s">
        <v>369</v>
      </c>
      <c r="F47" s="508"/>
      <c r="G47" s="508"/>
      <c r="H47" s="509"/>
      <c r="I47" s="198"/>
      <c r="J47" s="238"/>
    </row>
    <row r="48" spans="1:10" ht="12">
      <c r="A48" s="239" t="s">
        <v>122</v>
      </c>
      <c r="B48" s="457" t="s">
        <v>123</v>
      </c>
      <c r="C48" s="457"/>
      <c r="D48" s="457"/>
      <c r="E48" s="457"/>
      <c r="F48" s="457"/>
      <c r="G48" s="457"/>
      <c r="H48" s="242" t="e">
        <f>H46*(1+IF(J43&lt;&gt;"",J43/100,0)+IF(J44&lt;&gt;"",J44/100,0))</f>
        <v>#DIV/0!</v>
      </c>
      <c r="I48" s="198"/>
      <c r="J48" s="238"/>
    </row>
    <row r="49" spans="1:10" ht="12">
      <c r="A49" s="240"/>
      <c r="B49" s="241"/>
      <c r="C49" s="241"/>
      <c r="D49" s="241"/>
      <c r="E49" s="241"/>
      <c r="F49" s="241"/>
      <c r="G49" s="241"/>
      <c r="H49" s="176"/>
      <c r="I49" s="198"/>
      <c r="J49" s="238"/>
    </row>
    <row r="50" spans="1:10" ht="12">
      <c r="A50" s="239" t="s">
        <v>124</v>
      </c>
      <c r="B50" s="457" t="s">
        <v>125</v>
      </c>
      <c r="C50" s="457"/>
      <c r="D50" s="457"/>
      <c r="E50" s="457"/>
      <c r="F50" s="457"/>
      <c r="G50" s="457"/>
      <c r="H50" s="243" t="e">
        <f>IF(D41&lt;C12/4,(D32+D41)*H48,D32*H48)</f>
        <v>#DIV/0!</v>
      </c>
      <c r="I50" s="198"/>
      <c r="J50" s="238"/>
    </row>
    <row r="51" spans="1:10" ht="12">
      <c r="A51" s="216"/>
      <c r="B51" s="198"/>
      <c r="C51" s="198"/>
      <c r="D51" s="198"/>
      <c r="E51" s="198"/>
      <c r="F51" s="198"/>
      <c r="G51" s="198"/>
      <c r="H51" s="198"/>
      <c r="I51" s="198"/>
      <c r="J51" s="238"/>
    </row>
    <row r="52" spans="1:10" ht="12">
      <c r="A52" s="458" t="s">
        <v>126</v>
      </c>
      <c r="B52" s="458"/>
      <c r="C52" s="458"/>
      <c r="D52" s="458"/>
      <c r="E52" s="197"/>
      <c r="F52" s="198"/>
      <c r="G52" s="198"/>
      <c r="H52" s="198"/>
      <c r="I52" s="198"/>
      <c r="J52" s="238"/>
    </row>
    <row r="53" spans="1:10" ht="12.75" thickBot="1">
      <c r="A53" s="173"/>
      <c r="B53" s="172"/>
      <c r="C53" s="172"/>
      <c r="D53" s="172"/>
      <c r="E53" s="197"/>
      <c r="F53" s="198"/>
      <c r="G53" s="198"/>
      <c r="H53" s="198"/>
      <c r="I53" s="198"/>
      <c r="J53" s="238"/>
    </row>
    <row r="54" spans="1:10" ht="12.75" thickBot="1">
      <c r="A54" s="173" t="s">
        <v>127</v>
      </c>
      <c r="B54" s="172"/>
      <c r="C54" s="172"/>
      <c r="D54" s="172"/>
      <c r="E54" s="197"/>
      <c r="F54" s="198"/>
      <c r="G54" s="198"/>
      <c r="H54" s="288" t="s">
        <v>346</v>
      </c>
      <c r="I54" s="198"/>
      <c r="J54" s="238"/>
    </row>
    <row r="55" spans="1:10" ht="12">
      <c r="A55" s="240" t="s">
        <v>128</v>
      </c>
      <c r="B55" s="197"/>
      <c r="C55" s="197"/>
      <c r="D55" s="197"/>
      <c r="E55" s="197"/>
      <c r="F55" s="198"/>
      <c r="G55" s="198"/>
      <c r="H55" s="198"/>
      <c r="I55" s="198"/>
      <c r="J55" s="238"/>
    </row>
    <row r="56" spans="4:10" ht="12">
      <c r="D56" s="379">
        <f>IF(AND(C12&lt;95,C21&lt;=40),0.07,IF(AND(C12&lt;95,C21&gt;40),0.07,IF(AND(C12&gt;=95,C12&lt;110,C21&lt;=45),0.07,IF(AND(C12&gt;=95,C12&lt;110,C21&gt;45),0.08,IF(AND(C12&gt;=110,C12&lt;130,C21&lt;=50),0.08,IF(AND(C12&gt;=110,C12&lt;130,C21&gt;50),0.08,0.08))))))</f>
        <v>0.07</v>
      </c>
      <c r="E56" s="379">
        <f>IF(AND(C12&gt;=130,C12&lt;=160,C21&lt;=55),0.08,IF(AND(C12&gt;=130,C12&lt;=160,C21&gt;55),0.09,IF(AND(C12&gt;160,C21&lt;=60),0.09,0.1)))</f>
        <v>0.1</v>
      </c>
      <c r="F56" s="198"/>
      <c r="G56" s="198"/>
      <c r="H56" s="198"/>
      <c r="I56" s="198"/>
      <c r="J56" s="238"/>
    </row>
    <row r="57" spans="1:10" ht="15">
      <c r="A57" s="459" t="s">
        <v>129</v>
      </c>
      <c r="B57" s="459"/>
      <c r="C57" s="459"/>
      <c r="D57" s="380">
        <f>IF(H54="SI",0.1,IF(C12&gt;=130,E56,D56))</f>
        <v>0.07</v>
      </c>
      <c r="E57" s="399" t="s">
        <v>130</v>
      </c>
      <c r="F57" s="399"/>
      <c r="G57" s="399" t="s">
        <v>353</v>
      </c>
      <c r="H57" s="399"/>
      <c r="I57" s="399"/>
      <c r="J57" s="399"/>
    </row>
    <row r="58" spans="1:10" ht="12">
      <c r="A58" s="244"/>
      <c r="B58" s="245"/>
      <c r="C58" s="245"/>
      <c r="D58" s="246"/>
      <c r="E58" s="198"/>
      <c r="F58" s="198"/>
      <c r="G58" s="198"/>
      <c r="H58" s="198"/>
      <c r="I58" s="198"/>
      <c r="J58" s="238"/>
    </row>
    <row r="59" spans="1:10" ht="12">
      <c r="A59" s="460" t="s">
        <v>131</v>
      </c>
      <c r="B59" s="460"/>
      <c r="C59" s="460"/>
      <c r="D59" s="247" t="e">
        <f>H50</f>
        <v>#DIV/0!</v>
      </c>
      <c r="I59" s="198"/>
      <c r="J59" s="238"/>
    </row>
    <row r="60" spans="1:10" ht="12">
      <c r="A60" s="244"/>
      <c r="B60" s="245"/>
      <c r="C60" s="245"/>
      <c r="D60" s="248"/>
      <c r="E60" s="198"/>
      <c r="F60" s="198"/>
      <c r="G60" s="198"/>
      <c r="H60" s="198"/>
      <c r="I60" s="198"/>
      <c r="J60" s="238"/>
    </row>
    <row r="61" spans="1:10" ht="12">
      <c r="A61" s="450" t="s">
        <v>132</v>
      </c>
      <c r="B61" s="450"/>
      <c r="C61" s="450"/>
      <c r="D61" s="249" t="e">
        <f>D59*D56</f>
        <v>#DIV/0!</v>
      </c>
      <c r="E61" s="250"/>
      <c r="F61" s="250"/>
      <c r="G61" s="250"/>
      <c r="H61" s="250"/>
      <c r="I61" s="250"/>
      <c r="J61" s="251"/>
    </row>
    <row r="62" spans="1:10" ht="12">
      <c r="A62" s="216"/>
      <c r="B62" s="198"/>
      <c r="C62" s="198"/>
      <c r="D62" s="198"/>
      <c r="E62" s="198"/>
      <c r="F62" s="198"/>
      <c r="G62" s="198"/>
      <c r="H62" s="198"/>
      <c r="I62" s="198"/>
      <c r="J62" s="238"/>
    </row>
    <row r="63" spans="1:10" ht="12">
      <c r="A63" s="451"/>
      <c r="B63" s="451"/>
      <c r="C63" s="451"/>
      <c r="D63" s="451"/>
      <c r="E63" s="451"/>
      <c r="F63" s="451"/>
      <c r="G63" s="452"/>
      <c r="H63" s="452"/>
      <c r="I63" s="453"/>
      <c r="J63" s="453"/>
    </row>
    <row r="64" spans="1:10" ht="12">
      <c r="A64" s="252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ht="12">
      <c r="A65" s="454"/>
      <c r="B65" s="454"/>
      <c r="C65" s="454"/>
      <c r="D65" s="253"/>
      <c r="E65" s="252"/>
      <c r="F65" s="455"/>
      <c r="G65" s="455"/>
      <c r="H65" s="455"/>
      <c r="I65" s="456"/>
      <c r="J65" s="456"/>
    </row>
    <row r="66" spans="1:10" ht="12">
      <c r="A66" s="254" t="s">
        <v>348</v>
      </c>
      <c r="H66" s="198"/>
      <c r="I66" s="255"/>
      <c r="J66" s="256"/>
    </row>
    <row r="67" spans="8:10" ht="12.75" thickBot="1">
      <c r="H67" s="198"/>
      <c r="I67" s="255"/>
      <c r="J67" s="256"/>
    </row>
    <row r="68" spans="1:12" ht="15" customHeight="1">
      <c r="A68" s="448">
        <v>0</v>
      </c>
      <c r="B68" s="171" t="s">
        <v>349</v>
      </c>
      <c r="K68" s="257"/>
      <c r="L68" s="257"/>
    </row>
    <row r="69" spans="1:12" ht="12.75" customHeight="1" thickBot="1">
      <c r="A69" s="449"/>
      <c r="B69" s="171" t="s">
        <v>133</v>
      </c>
      <c r="K69" s="257"/>
      <c r="L69" s="257"/>
    </row>
    <row r="70" spans="1:2" ht="12.75" thickBot="1">
      <c r="A70" s="198"/>
      <c r="B70" s="258"/>
    </row>
    <row r="71" spans="1:2" ht="15.75" thickBot="1">
      <c r="A71" s="400">
        <v>0</v>
      </c>
      <c r="B71" s="171" t="s">
        <v>350</v>
      </c>
    </row>
    <row r="72" spans="1:2" ht="12">
      <c r="A72" s="198"/>
      <c r="B72" s="171" t="s">
        <v>134</v>
      </c>
    </row>
    <row r="73" ht="12.75" thickBot="1">
      <c r="A73" s="198"/>
    </row>
    <row r="74" spans="1:2" ht="15.75" thickBot="1">
      <c r="A74" s="401">
        <v>0</v>
      </c>
      <c r="B74" s="171" t="s">
        <v>135</v>
      </c>
    </row>
    <row r="75" spans="1:10" ht="12">
      <c r="A75" s="198"/>
      <c r="B75" s="171" t="s">
        <v>136</v>
      </c>
      <c r="C75" s="259"/>
      <c r="D75" s="259"/>
      <c r="E75" s="258"/>
      <c r="F75" s="259"/>
      <c r="G75" s="259"/>
      <c r="H75" s="259"/>
      <c r="I75" s="259"/>
      <c r="J75" s="259"/>
    </row>
    <row r="76" spans="2:10" ht="12">
      <c r="B76" s="171" t="s">
        <v>137</v>
      </c>
      <c r="C76" s="259"/>
      <c r="D76" s="259"/>
      <c r="E76" s="258"/>
      <c r="F76" s="259"/>
      <c r="G76" s="259"/>
      <c r="H76" s="259"/>
      <c r="I76" s="259"/>
      <c r="J76" s="259"/>
    </row>
    <row r="77" spans="2:12" ht="12">
      <c r="B77" s="171" t="s">
        <v>138</v>
      </c>
      <c r="K77" s="259"/>
      <c r="L77" s="259"/>
    </row>
    <row r="78" spans="2:12" ht="12">
      <c r="B78" s="171" t="s">
        <v>139</v>
      </c>
      <c r="K78" s="259"/>
      <c r="L78" s="259"/>
    </row>
    <row r="79" ht="12">
      <c r="B79" s="171" t="s">
        <v>140</v>
      </c>
    </row>
    <row r="80" ht="12">
      <c r="B80" s="171" t="s">
        <v>141</v>
      </c>
    </row>
    <row r="81" ht="12">
      <c r="B81" s="171" t="s">
        <v>142</v>
      </c>
    </row>
    <row r="82" ht="12">
      <c r="B82" s="171" t="s">
        <v>143</v>
      </c>
    </row>
    <row r="83" ht="12">
      <c r="B83" s="171" t="s">
        <v>144</v>
      </c>
    </row>
    <row r="84" ht="12.75" thickBot="1"/>
    <row r="85" spans="1:2" ht="12.75" thickBot="1">
      <c r="A85" s="261"/>
      <c r="B85" s="171" t="s">
        <v>145</v>
      </c>
    </row>
    <row r="86" ht="12.75" thickBot="1"/>
    <row r="87" spans="1:2" ht="15.75" thickBot="1">
      <c r="A87" s="262"/>
      <c r="B87" s="171" t="s">
        <v>146</v>
      </c>
    </row>
  </sheetData>
  <sheetProtection/>
  <mergeCells count="32">
    <mergeCell ref="A3:J3"/>
    <mergeCell ref="A14:C14"/>
    <mergeCell ref="A15:B15"/>
    <mergeCell ref="F15:H16"/>
    <mergeCell ref="A16:B16"/>
    <mergeCell ref="A17:B17"/>
    <mergeCell ref="A18:B18"/>
    <mergeCell ref="A19:B19"/>
    <mergeCell ref="A20:B20"/>
    <mergeCell ref="A26:D26"/>
    <mergeCell ref="F26:H26"/>
    <mergeCell ref="A27:B27"/>
    <mergeCell ref="A28:B28"/>
    <mergeCell ref="A35:D35"/>
    <mergeCell ref="A36:B36"/>
    <mergeCell ref="A37:B37"/>
    <mergeCell ref="F37:H37"/>
    <mergeCell ref="D43:F43"/>
    <mergeCell ref="B46:G46"/>
    <mergeCell ref="B48:G48"/>
    <mergeCell ref="B50:G50"/>
    <mergeCell ref="A52:D52"/>
    <mergeCell ref="A57:C57"/>
    <mergeCell ref="A59:C59"/>
    <mergeCell ref="A68:A69"/>
    <mergeCell ref="A61:C61"/>
    <mergeCell ref="A63:F63"/>
    <mergeCell ref="G63:H63"/>
    <mergeCell ref="I63:J63"/>
    <mergeCell ref="A65:C65"/>
    <mergeCell ref="F65:H65"/>
    <mergeCell ref="I65:J65"/>
  </mergeCells>
  <printOptions gridLines="1"/>
  <pageMargins left="0.3798611111111111" right="0.35" top="0.9840277777777777" bottom="0.42986111111111114" header="0.5" footer="0.42986111111111114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6"/>
  <dimension ref="A1:L87"/>
  <sheetViews>
    <sheetView zoomScale="140" zoomScaleNormal="140" zoomScalePageLayoutView="0" workbookViewId="0" topLeftCell="A28">
      <selection activeCell="F61" sqref="F61"/>
    </sheetView>
  </sheetViews>
  <sheetFormatPr defaultColWidth="9.140625" defaultRowHeight="12.75"/>
  <cols>
    <col min="1" max="1" width="9.8515625" style="171" customWidth="1"/>
    <col min="2" max="3" width="10.57421875" style="171" customWidth="1"/>
    <col min="4" max="4" width="13.421875" style="171" customWidth="1"/>
    <col min="5" max="5" width="8.421875" style="171" customWidth="1"/>
    <col min="6" max="6" width="10.421875" style="171" customWidth="1"/>
    <col min="7" max="7" width="8.00390625" style="171" customWidth="1"/>
    <col min="8" max="8" width="12.28125" style="171" customWidth="1"/>
    <col min="9" max="9" width="5.421875" style="171" customWidth="1"/>
    <col min="10" max="10" width="5.7109375" style="171" customWidth="1"/>
    <col min="11" max="16384" width="9.140625" style="171" customWidth="1"/>
  </cols>
  <sheetData>
    <row r="1" spans="2:10" ht="12">
      <c r="B1" s="172"/>
      <c r="C1" s="172"/>
      <c r="D1" s="172" t="s">
        <v>40</v>
      </c>
      <c r="E1" s="172"/>
      <c r="F1" s="172"/>
      <c r="G1" s="172"/>
      <c r="H1" s="172"/>
      <c r="I1" s="172"/>
      <c r="J1" s="174"/>
    </row>
    <row r="2" spans="1:10" ht="12">
      <c r="A2" s="175"/>
      <c r="B2" s="176"/>
      <c r="C2" s="177"/>
      <c r="D2" s="178" t="s">
        <v>41</v>
      </c>
      <c r="F2" s="176"/>
      <c r="G2" s="176"/>
      <c r="H2" s="176"/>
      <c r="I2" s="176"/>
      <c r="J2" s="179"/>
    </row>
    <row r="3" spans="1:10" ht="16.5" customHeight="1" thickBot="1">
      <c r="A3" s="472" t="s">
        <v>42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12.75" thickBot="1">
      <c r="A4" s="177"/>
      <c r="B4" s="180" t="s">
        <v>43</v>
      </c>
      <c r="C4" s="177"/>
      <c r="D4" s="181">
        <v>0</v>
      </c>
      <c r="E4" s="176"/>
      <c r="F4" s="176"/>
      <c r="G4" s="176"/>
      <c r="H4" s="176"/>
      <c r="I4" s="176"/>
      <c r="J4" s="260"/>
    </row>
    <row r="5" spans="1:10" ht="44.25" customHeight="1">
      <c r="A5" s="264" t="s">
        <v>44</v>
      </c>
      <c r="B5" s="265" t="s">
        <v>45</v>
      </c>
      <c r="C5" s="266" t="s">
        <v>46</v>
      </c>
      <c r="D5" s="266" t="s">
        <v>47</v>
      </c>
      <c r="E5" s="266" t="s">
        <v>48</v>
      </c>
      <c r="F5" s="266" t="s">
        <v>49</v>
      </c>
      <c r="G5" s="267"/>
      <c r="H5" s="267"/>
      <c r="I5" s="267"/>
      <c r="J5" s="268"/>
    </row>
    <row r="6" spans="1:10" ht="15" customHeight="1">
      <c r="A6" s="269" t="s">
        <v>50</v>
      </c>
      <c r="B6" s="270" t="s">
        <v>51</v>
      </c>
      <c r="C6" s="270" t="s">
        <v>52</v>
      </c>
      <c r="D6" s="270" t="s">
        <v>53</v>
      </c>
      <c r="E6" s="270" t="s">
        <v>54</v>
      </c>
      <c r="F6" s="271" t="s">
        <v>55</v>
      </c>
      <c r="G6" s="272"/>
      <c r="H6" s="272"/>
      <c r="I6" s="272"/>
      <c r="J6" s="273"/>
    </row>
    <row r="7" spans="1:10" ht="12">
      <c r="A7" s="274" t="s">
        <v>56</v>
      </c>
      <c r="B7" s="275">
        <f>IF($D$4&lt;95,1,"")</f>
        <v>1</v>
      </c>
      <c r="C7" s="275">
        <f>IF($D$4&lt;=95,$D$4,0)</f>
        <v>0</v>
      </c>
      <c r="D7" s="275" t="e">
        <f>C7/C12</f>
        <v>#DIV/0!</v>
      </c>
      <c r="E7" s="275">
        <v>0</v>
      </c>
      <c r="F7" s="275" t="e">
        <f>D7*E7</f>
        <v>#DIV/0!</v>
      </c>
      <c r="G7" s="272"/>
      <c r="H7" s="272"/>
      <c r="I7" s="272"/>
      <c r="J7" s="273"/>
    </row>
    <row r="8" spans="1:10" ht="12">
      <c r="A8" s="274" t="s">
        <v>57</v>
      </c>
      <c r="B8" s="275">
        <f>IF(AND($D$4&gt;=95,$D$4&lt;110),1,"")</f>
      </c>
      <c r="C8" s="275">
        <f>IF(AND($D$4&gt;95,$D$4&lt;=110),$D$4,0)</f>
        <v>0</v>
      </c>
      <c r="D8" s="275" t="e">
        <f>C8/C12</f>
        <v>#DIV/0!</v>
      </c>
      <c r="E8" s="275">
        <v>5</v>
      </c>
      <c r="F8" s="275" t="e">
        <f>D8*E8</f>
        <v>#DIV/0!</v>
      </c>
      <c r="G8" s="272"/>
      <c r="H8" s="272"/>
      <c r="I8" s="272"/>
      <c r="J8" s="273"/>
    </row>
    <row r="9" spans="1:10" ht="12">
      <c r="A9" s="274" t="s">
        <v>58</v>
      </c>
      <c r="B9" s="275">
        <f>IF(AND($D$4&gt;=110,$D$4&lt;130),1,"")</f>
      </c>
      <c r="C9" s="275">
        <f>IF(AND($D$4&gt;110,$D$4&lt;=130),$D$4,0)</f>
        <v>0</v>
      </c>
      <c r="D9" s="275" t="e">
        <f>C9/C12</f>
        <v>#DIV/0!</v>
      </c>
      <c r="E9" s="275">
        <v>15</v>
      </c>
      <c r="F9" s="275" t="e">
        <f>D9*E9</f>
        <v>#DIV/0!</v>
      </c>
      <c r="G9" s="272"/>
      <c r="H9" s="272"/>
      <c r="I9" s="272"/>
      <c r="J9" s="273"/>
    </row>
    <row r="10" spans="1:10" ht="12">
      <c r="A10" s="274" t="s">
        <v>59</v>
      </c>
      <c r="B10" s="275">
        <f>IF(AND($D$4&gt;=130,$D$4&lt;160),1,"")</f>
      </c>
      <c r="C10" s="275">
        <f>IF(AND($D$4&gt;130,$D$4&lt;=160),$D$4,0)</f>
        <v>0</v>
      </c>
      <c r="D10" s="275" t="e">
        <f>C10/C12</f>
        <v>#DIV/0!</v>
      </c>
      <c r="E10" s="275">
        <v>30</v>
      </c>
      <c r="F10" s="275" t="e">
        <f>D10*E10</f>
        <v>#DIV/0!</v>
      </c>
      <c r="G10" s="272"/>
      <c r="H10" s="272"/>
      <c r="I10" s="272"/>
      <c r="J10" s="273"/>
    </row>
    <row r="11" spans="1:10" ht="12">
      <c r="A11" s="274" t="s">
        <v>60</v>
      </c>
      <c r="B11" s="275">
        <f>IF($D$4&gt;160,1,"")</f>
      </c>
      <c r="C11" s="275">
        <f>IF($D$4&gt;160,$D$4,0)</f>
        <v>0</v>
      </c>
      <c r="D11" s="275" t="e">
        <f>C11/C12</f>
        <v>#DIV/0!</v>
      </c>
      <c r="E11" s="275">
        <v>50</v>
      </c>
      <c r="F11" s="275" t="e">
        <f>D11*E11</f>
        <v>#DIV/0!</v>
      </c>
      <c r="G11" s="272"/>
      <c r="H11" s="272"/>
      <c r="I11" s="272"/>
      <c r="J11" s="273"/>
    </row>
    <row r="12" spans="1:10" ht="12">
      <c r="A12" s="276"/>
      <c r="B12" s="277" t="s">
        <v>61</v>
      </c>
      <c r="C12" s="275">
        <f>SUM(C7:C11)</f>
        <v>0</v>
      </c>
      <c r="D12" s="272"/>
      <c r="E12" s="272"/>
      <c r="F12" s="272" t="s">
        <v>62</v>
      </c>
      <c r="G12" s="275" t="e">
        <f>SUM(F7:F11)</f>
        <v>#DIV/0!</v>
      </c>
      <c r="H12" s="272"/>
      <c r="I12" s="272"/>
      <c r="J12" s="273"/>
    </row>
    <row r="13" spans="1:10" ht="12.75" thickBot="1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43.5" customHeight="1">
      <c r="A14" s="474" t="s">
        <v>63</v>
      </c>
      <c r="B14" s="475"/>
      <c r="C14" s="475"/>
      <c r="D14" s="182"/>
      <c r="E14" s="182"/>
      <c r="F14" s="182"/>
      <c r="G14" s="182"/>
      <c r="H14" s="182"/>
      <c r="I14" s="182"/>
      <c r="J14" s="183"/>
    </row>
    <row r="15" spans="1:10" ht="33" customHeight="1">
      <c r="A15" s="476" t="s">
        <v>64</v>
      </c>
      <c r="B15" s="477"/>
      <c r="C15" s="281" t="s">
        <v>65</v>
      </c>
      <c r="D15" s="184"/>
      <c r="E15" s="184"/>
      <c r="F15" s="478" t="s">
        <v>66</v>
      </c>
      <c r="G15" s="478"/>
      <c r="H15" s="478"/>
      <c r="I15" s="184"/>
      <c r="J15" s="185"/>
    </row>
    <row r="16" spans="1:10" ht="10.5" customHeight="1">
      <c r="A16" s="479" t="s">
        <v>67</v>
      </c>
      <c r="B16" s="480"/>
      <c r="C16" s="282" t="s">
        <v>68</v>
      </c>
      <c r="D16" s="283"/>
      <c r="E16" s="184"/>
      <c r="F16" s="478"/>
      <c r="G16" s="478"/>
      <c r="H16" s="478"/>
      <c r="I16" s="184"/>
      <c r="J16" s="185"/>
    </row>
    <row r="17" spans="1:10" ht="50.25" customHeight="1">
      <c r="A17" s="481" t="s">
        <v>69</v>
      </c>
      <c r="B17" s="482"/>
      <c r="C17" s="186">
        <v>0</v>
      </c>
      <c r="D17" s="184"/>
      <c r="E17" s="184"/>
      <c r="F17" s="284" t="s">
        <v>70</v>
      </c>
      <c r="G17" s="284" t="s">
        <v>71</v>
      </c>
      <c r="H17" s="284" t="s">
        <v>72</v>
      </c>
      <c r="I17" s="184"/>
      <c r="J17" s="185"/>
    </row>
    <row r="18" spans="1:10" ht="24.75" customHeight="1">
      <c r="A18" s="466" t="s">
        <v>73</v>
      </c>
      <c r="B18" s="467"/>
      <c r="C18" s="186">
        <v>0</v>
      </c>
      <c r="D18" s="184"/>
      <c r="E18" s="184"/>
      <c r="F18" s="282" t="s">
        <v>74</v>
      </c>
      <c r="G18" s="282" t="s">
        <v>75</v>
      </c>
      <c r="H18" s="282" t="s">
        <v>76</v>
      </c>
      <c r="I18" s="184"/>
      <c r="J18" s="185"/>
    </row>
    <row r="19" spans="1:10" ht="12.75" customHeight="1">
      <c r="A19" s="466" t="s">
        <v>77</v>
      </c>
      <c r="B19" s="467"/>
      <c r="C19" s="186">
        <v>0</v>
      </c>
      <c r="D19" s="184"/>
      <c r="E19" s="184"/>
      <c r="F19" s="187" t="s">
        <v>78</v>
      </c>
      <c r="G19" s="187" t="e">
        <f>IF(E21&lt;=50,"X",0)</f>
        <v>#DIV/0!</v>
      </c>
      <c r="H19" s="187">
        <v>0</v>
      </c>
      <c r="I19" s="184"/>
      <c r="J19" s="185"/>
    </row>
    <row r="20" spans="1:10" ht="12.75" customHeight="1">
      <c r="A20" s="468" t="s">
        <v>79</v>
      </c>
      <c r="B20" s="469"/>
      <c r="C20" s="285"/>
      <c r="D20" s="184"/>
      <c r="E20" s="184"/>
      <c r="F20" s="187" t="s">
        <v>80</v>
      </c>
      <c r="G20" s="187" t="e">
        <f>IF(E21&gt;50,IF(E21&lt;=75,"X",0),0)</f>
        <v>#DIV/0!</v>
      </c>
      <c r="H20" s="187">
        <v>10</v>
      </c>
      <c r="I20" s="184"/>
      <c r="J20" s="185"/>
    </row>
    <row r="21" spans="1:10" ht="12">
      <c r="A21" s="188"/>
      <c r="B21" s="189" t="s">
        <v>81</v>
      </c>
      <c r="C21" s="187">
        <f>SUM(C17:C20)</f>
        <v>0</v>
      </c>
      <c r="D21" s="190" t="s">
        <v>82</v>
      </c>
      <c r="E21" s="190" t="e">
        <f>C21/C12*100</f>
        <v>#DIV/0!</v>
      </c>
      <c r="F21" s="187" t="s">
        <v>83</v>
      </c>
      <c r="G21" s="187" t="e">
        <f>IF(E21&gt;75,IF(E21&lt;=100,"X",0),0)</f>
        <v>#DIV/0!</v>
      </c>
      <c r="H21" s="187">
        <v>20</v>
      </c>
      <c r="I21" s="184"/>
      <c r="J21" s="185"/>
    </row>
    <row r="22" spans="1:10" ht="12">
      <c r="A22" s="191"/>
      <c r="B22" s="184"/>
      <c r="C22" s="184"/>
      <c r="D22" s="184"/>
      <c r="E22" s="184"/>
      <c r="F22" s="187" t="s">
        <v>84</v>
      </c>
      <c r="G22" s="187" t="e">
        <f>IF(E21&gt;100,"X",0)</f>
        <v>#DIV/0!</v>
      </c>
      <c r="H22" s="187">
        <v>30</v>
      </c>
      <c r="I22" s="184"/>
      <c r="J22" s="185"/>
    </row>
    <row r="23" spans="1:10" ht="12.75" thickBot="1">
      <c r="A23" s="192"/>
      <c r="B23" s="193"/>
      <c r="C23" s="193"/>
      <c r="D23" s="193"/>
      <c r="E23" s="193"/>
      <c r="F23" s="194" t="s">
        <v>85</v>
      </c>
      <c r="G23" s="195" t="e">
        <f>IF(E21&lt;=50,0,IF(E21&lt;=75,10,IF(E21&lt;=100,20,30)))</f>
        <v>#DIV/0!</v>
      </c>
      <c r="H23" s="193"/>
      <c r="I23" s="193"/>
      <c r="J23" s="196"/>
    </row>
    <row r="24" spans="1:10" ht="12">
      <c r="A24" s="197" t="s">
        <v>86</v>
      </c>
      <c r="B24" s="197"/>
      <c r="C24" s="197"/>
      <c r="D24" s="197"/>
      <c r="E24" s="198"/>
      <c r="F24" s="199"/>
      <c r="G24" s="200"/>
      <c r="H24" s="201"/>
      <c r="I24" s="201"/>
      <c r="J24" s="202"/>
    </row>
    <row r="25" spans="1:10" ht="12">
      <c r="A25" s="203" t="s">
        <v>87</v>
      </c>
      <c r="B25" s="197"/>
      <c r="C25" s="197"/>
      <c r="D25" s="197"/>
      <c r="E25" s="198"/>
      <c r="F25" s="204"/>
      <c r="G25" s="201"/>
      <c r="H25" s="201"/>
      <c r="I25" s="201"/>
      <c r="J25" s="202"/>
    </row>
    <row r="26" spans="1:10" ht="39.75" customHeight="1">
      <c r="A26" s="470" t="s">
        <v>88</v>
      </c>
      <c r="B26" s="470"/>
      <c r="C26" s="470"/>
      <c r="D26" s="470"/>
      <c r="E26" s="198"/>
      <c r="F26" s="471" t="s">
        <v>89</v>
      </c>
      <c r="G26" s="471"/>
      <c r="H26" s="471"/>
      <c r="I26" s="201"/>
      <c r="J26" s="202"/>
    </row>
    <row r="27" spans="1:10" ht="36">
      <c r="A27" s="463" t="s">
        <v>90</v>
      </c>
      <c r="B27" s="463"/>
      <c r="C27" s="205" t="s">
        <v>91</v>
      </c>
      <c r="D27" s="205" t="s">
        <v>92</v>
      </c>
      <c r="E27" s="198"/>
      <c r="F27" s="206" t="s">
        <v>93</v>
      </c>
      <c r="G27" s="207" t="s">
        <v>71</v>
      </c>
      <c r="H27" s="208" t="s">
        <v>72</v>
      </c>
      <c r="I27" s="201"/>
      <c r="J27" s="202"/>
    </row>
    <row r="28" spans="1:10" ht="12">
      <c r="A28" s="461" t="s">
        <v>94</v>
      </c>
      <c r="B28" s="461"/>
      <c r="C28" s="209" t="s">
        <v>95</v>
      </c>
      <c r="D28" s="209" t="s">
        <v>96</v>
      </c>
      <c r="E28" s="198"/>
      <c r="F28" s="210" t="s">
        <v>97</v>
      </c>
      <c r="G28" s="211" t="s">
        <v>98</v>
      </c>
      <c r="H28" s="211" t="s">
        <v>99</v>
      </c>
      <c r="I28" s="201"/>
      <c r="J28" s="202"/>
    </row>
    <row r="29" spans="1:10" ht="12">
      <c r="A29" s="205">
        <v>1</v>
      </c>
      <c r="B29" s="212" t="s">
        <v>100</v>
      </c>
      <c r="C29" s="213" t="s">
        <v>101</v>
      </c>
      <c r="D29" s="286">
        <f>C12</f>
        <v>0</v>
      </c>
      <c r="E29" s="198"/>
      <c r="F29" s="393">
        <v>0</v>
      </c>
      <c r="G29" s="289">
        <v>0</v>
      </c>
      <c r="H29" s="208">
        <v>0</v>
      </c>
      <c r="I29" s="201"/>
      <c r="J29" s="202"/>
    </row>
    <row r="30" spans="1:10" ht="15">
      <c r="A30" s="205">
        <v>2</v>
      </c>
      <c r="B30" s="212" t="s">
        <v>102</v>
      </c>
      <c r="C30" s="213" t="s">
        <v>103</v>
      </c>
      <c r="D30" s="287">
        <f>C21</f>
        <v>0</v>
      </c>
      <c r="E30" s="198"/>
      <c r="F30" s="393">
        <v>1</v>
      </c>
      <c r="G30" s="289">
        <v>0</v>
      </c>
      <c r="H30" s="208">
        <v>10</v>
      </c>
      <c r="I30" s="201"/>
      <c r="J30" s="202"/>
    </row>
    <row r="31" spans="1:10" ht="15">
      <c r="A31" s="205">
        <v>3</v>
      </c>
      <c r="B31" s="212" t="s">
        <v>104</v>
      </c>
      <c r="C31" s="213" t="s">
        <v>105</v>
      </c>
      <c r="D31" s="214">
        <f>D30*0.6</f>
        <v>0</v>
      </c>
      <c r="E31" s="198"/>
      <c r="F31" s="393">
        <v>2</v>
      </c>
      <c r="G31" s="289">
        <v>0</v>
      </c>
      <c r="H31" s="208">
        <v>20</v>
      </c>
      <c r="I31" s="201"/>
      <c r="J31" s="202"/>
    </row>
    <row r="32" spans="1:10" ht="12">
      <c r="A32" s="205" t="s">
        <v>106</v>
      </c>
      <c r="B32" s="212" t="s">
        <v>107</v>
      </c>
      <c r="C32" s="213" t="s">
        <v>108</v>
      </c>
      <c r="D32" s="215">
        <f>D29+D31</f>
        <v>0</v>
      </c>
      <c r="E32" s="198"/>
      <c r="F32" s="393">
        <v>3</v>
      </c>
      <c r="G32" s="289">
        <v>0</v>
      </c>
      <c r="H32" s="208">
        <v>30</v>
      </c>
      <c r="I32" s="201"/>
      <c r="J32" s="202"/>
    </row>
    <row r="33" spans="1:10" ht="12">
      <c r="A33" s="216"/>
      <c r="B33" s="198"/>
      <c r="C33" s="198"/>
      <c r="D33" s="198"/>
      <c r="E33" s="198"/>
      <c r="F33" s="393">
        <v>4</v>
      </c>
      <c r="G33" s="289">
        <v>0</v>
      </c>
      <c r="H33" s="208">
        <v>40</v>
      </c>
      <c r="I33" s="201"/>
      <c r="J33" s="202"/>
    </row>
    <row r="34" spans="1:10" ht="12">
      <c r="A34" s="203" t="s">
        <v>109</v>
      </c>
      <c r="B34" s="198"/>
      <c r="C34" s="198"/>
      <c r="D34" s="198"/>
      <c r="E34" s="198"/>
      <c r="F34" s="393">
        <v>5</v>
      </c>
      <c r="G34" s="289">
        <v>0</v>
      </c>
      <c r="H34" s="208">
        <v>50</v>
      </c>
      <c r="I34" s="201"/>
      <c r="J34" s="202"/>
    </row>
    <row r="35" spans="1:10" ht="24.75" customHeight="1">
      <c r="A35" s="462" t="s">
        <v>110</v>
      </c>
      <c r="B35" s="462"/>
      <c r="C35" s="462"/>
      <c r="D35" s="462"/>
      <c r="E35" s="198"/>
      <c r="F35" s="199" t="s">
        <v>111</v>
      </c>
      <c r="G35" s="208">
        <f>IF(G30&lt;&gt;0,10,IF(G31&lt;&gt;0,20,IF(G32&lt;&gt;0,30,IF(G33&lt;&gt;0,40,IF(G34&lt;&gt;0,50,0)))))</f>
        <v>0</v>
      </c>
      <c r="H35" s="201"/>
      <c r="I35" s="217"/>
      <c r="J35" s="202"/>
    </row>
    <row r="36" spans="1:10" ht="11.25" customHeight="1">
      <c r="A36" s="463" t="s">
        <v>90</v>
      </c>
      <c r="B36" s="463"/>
      <c r="C36" s="205" t="s">
        <v>91</v>
      </c>
      <c r="D36" s="205" t="s">
        <v>92</v>
      </c>
      <c r="E36" s="198"/>
      <c r="F36" s="199"/>
      <c r="G36" s="200"/>
      <c r="H36" s="201"/>
      <c r="I36" s="218"/>
      <c r="J36" s="219"/>
    </row>
    <row r="37" spans="1:10" ht="12" customHeight="1">
      <c r="A37" s="461" t="s">
        <v>94</v>
      </c>
      <c r="B37" s="461"/>
      <c r="C37" s="209" t="s">
        <v>95</v>
      </c>
      <c r="D37" s="209" t="s">
        <v>96</v>
      </c>
      <c r="E37" s="198"/>
      <c r="F37" s="464" t="s">
        <v>112</v>
      </c>
      <c r="G37" s="464"/>
      <c r="H37" s="464"/>
      <c r="I37" s="220" t="e">
        <f>IF(($G$12+$G$23+$G$35)&gt;15,SUM($G$12,$G$23,$G$35),"")</f>
        <v>#DIV/0!</v>
      </c>
      <c r="J37" s="219"/>
    </row>
    <row r="38" spans="1:10" ht="14.25" customHeight="1">
      <c r="A38" s="205">
        <v>1</v>
      </c>
      <c r="B38" s="212" t="s">
        <v>113</v>
      </c>
      <c r="C38" s="213" t="s">
        <v>101</v>
      </c>
      <c r="D38" s="290">
        <v>0</v>
      </c>
      <c r="E38" s="198"/>
      <c r="F38" s="204"/>
      <c r="G38" s="201"/>
      <c r="H38" s="201"/>
      <c r="I38" s="221" t="e">
        <f>IF(($G$12+$G$23+$G$35)&lt;=15,SUM($G$12,$G$23,$G$35),"")</f>
        <v>#DIV/0!</v>
      </c>
      <c r="J38" s="219"/>
    </row>
    <row r="39" spans="1:10" ht="13.5" customHeight="1">
      <c r="A39" s="205">
        <v>2</v>
      </c>
      <c r="B39" s="212" t="s">
        <v>114</v>
      </c>
      <c r="C39" s="213" t="s">
        <v>103</v>
      </c>
      <c r="D39" s="290">
        <v>0</v>
      </c>
      <c r="E39" s="198"/>
      <c r="F39" s="199"/>
      <c r="G39" s="200"/>
      <c r="H39" s="201"/>
      <c r="I39" s="218"/>
      <c r="J39" s="219"/>
    </row>
    <row r="40" spans="1:10" ht="12.75" customHeight="1" thickBot="1">
      <c r="A40" s="205">
        <v>3</v>
      </c>
      <c r="B40" s="212" t="s">
        <v>115</v>
      </c>
      <c r="C40" s="213" t="s">
        <v>105</v>
      </c>
      <c r="D40" s="205">
        <f>D39*0.6</f>
        <v>0</v>
      </c>
      <c r="E40" s="198"/>
      <c r="F40" s="222"/>
      <c r="G40" s="223"/>
      <c r="H40" s="224"/>
      <c r="I40" s="218"/>
      <c r="J40" s="225"/>
    </row>
    <row r="41" spans="1:10" ht="27" customHeight="1" thickTop="1">
      <c r="A41" s="205" t="s">
        <v>106</v>
      </c>
      <c r="B41" s="212" t="s">
        <v>116</v>
      </c>
      <c r="C41" s="213" t="s">
        <v>108</v>
      </c>
      <c r="D41" s="226">
        <f>D38+D40</f>
        <v>0</v>
      </c>
      <c r="E41" s="227">
        <f>IF(D41=0,"",IF(D41&lt;0.25*C12,"Calcolabile col Metodo del DM 10/77","Da calcolare con Perizia Estimativa"))</f>
      </c>
      <c r="F41" s="228"/>
      <c r="G41" s="229"/>
      <c r="H41" s="198"/>
      <c r="I41" s="230" t="s">
        <v>117</v>
      </c>
      <c r="J41" s="231" t="s">
        <v>118</v>
      </c>
    </row>
    <row r="42" spans="1:10" ht="9.75" customHeight="1">
      <c r="A42" s="216"/>
      <c r="B42" s="198"/>
      <c r="C42" s="198"/>
      <c r="D42" s="198"/>
      <c r="E42" s="198"/>
      <c r="F42" s="198"/>
      <c r="G42" s="198"/>
      <c r="H42" s="198"/>
      <c r="I42" s="232" t="s">
        <v>119</v>
      </c>
      <c r="J42" s="233" t="s">
        <v>120</v>
      </c>
    </row>
    <row r="43" spans="1:10" ht="12">
      <c r="A43" s="216"/>
      <c r="B43" s="198"/>
      <c r="C43" s="198"/>
      <c r="D43" s="465" t="s">
        <v>112</v>
      </c>
      <c r="E43" s="465"/>
      <c r="F43" s="465"/>
      <c r="G43" s="229" t="e">
        <f>IF(($G$12+$G$23+$G$35)&gt;15,SUM($G$12,$G$23,$G$35),"")</f>
        <v>#DIV/0!</v>
      </c>
      <c r="H43" s="198"/>
      <c r="I43" s="234" t="e">
        <f>IF($G$43="","",IF($G$43&lt;=20,"IV",IF($G$43&lt;=25,"V",IF($G$43&lt;=30,"VI",IF($G$43&lt;=35,"VII",IF($G$43&lt;=40,"VIII",IF($G$43&lt;=45,"IX",IF($G$43&lt;=50,"X","XI"))))))))</f>
        <v>#DIV/0!</v>
      </c>
      <c r="J43" s="235" t="e">
        <f>IF($G$43="","",IF($G$43&lt;=20,15,IF($G$43&lt;=25,20,IF($G$43&lt;=30,25,IF($G$43&lt;=35,30,IF($G$43&lt;=40,35,IF($G$43&lt;=45,40,IF($G$43&lt;=50,45,50))))))))</f>
        <v>#DIV/0!</v>
      </c>
    </row>
    <row r="44" spans="1:10" ht="12.75" thickBot="1">
      <c r="A44" s="216"/>
      <c r="B44" s="198"/>
      <c r="C44" s="198"/>
      <c r="D44" s="198"/>
      <c r="E44" s="198"/>
      <c r="F44" s="198"/>
      <c r="G44" s="176" t="e">
        <f>IF(($G$12+$G$23+$G$35)&lt;=15,SUM($G$12,$G$23,$G$35),"")</f>
        <v>#DIV/0!</v>
      </c>
      <c r="H44" s="198"/>
      <c r="I44" s="236" t="e">
        <f>IF($G$44&lt;=5,"I",IF($G$44&lt;=10,"II",IF($G$44&lt;=15,"III","")))</f>
        <v>#DIV/0!</v>
      </c>
      <c r="J44" s="237" t="e">
        <f>IF($G$44&lt;=5,0,IF($G$44&lt;=10,5,IF($G$44&lt;=15,10,"")))</f>
        <v>#DIV/0!</v>
      </c>
    </row>
    <row r="45" spans="1:10" ht="12.75" thickTop="1">
      <c r="A45" s="216"/>
      <c r="B45" s="198"/>
      <c r="C45" s="198"/>
      <c r="D45" s="198"/>
      <c r="E45" s="198"/>
      <c r="F45" s="198"/>
      <c r="G45" s="198"/>
      <c r="H45" s="198"/>
      <c r="I45" s="198"/>
      <c r="J45" s="238"/>
    </row>
    <row r="46" spans="1:10" ht="12">
      <c r="A46" s="239" t="s">
        <v>121</v>
      </c>
      <c r="B46" s="457" t="s">
        <v>368</v>
      </c>
      <c r="C46" s="457"/>
      <c r="D46" s="457"/>
      <c r="E46" s="457"/>
      <c r="F46" s="457"/>
      <c r="G46" s="457"/>
      <c r="H46" s="510">
        <v>0</v>
      </c>
      <c r="I46" s="198"/>
      <c r="J46" s="238"/>
    </row>
    <row r="47" spans="1:10" ht="12">
      <c r="A47" s="240"/>
      <c r="B47" s="241"/>
      <c r="C47" s="241"/>
      <c r="D47" s="241"/>
      <c r="E47" s="508" t="s">
        <v>369</v>
      </c>
      <c r="F47" s="508"/>
      <c r="G47" s="508"/>
      <c r="H47" s="509"/>
      <c r="I47" s="198"/>
      <c r="J47" s="238"/>
    </row>
    <row r="48" spans="1:10" ht="12">
      <c r="A48" s="239" t="s">
        <v>122</v>
      </c>
      <c r="B48" s="457" t="s">
        <v>123</v>
      </c>
      <c r="C48" s="457"/>
      <c r="D48" s="457"/>
      <c r="E48" s="457"/>
      <c r="F48" s="457"/>
      <c r="G48" s="457"/>
      <c r="H48" s="242" t="e">
        <f>H46*(1+IF(J43&lt;&gt;"",J43/100,0)+IF(J44&lt;&gt;"",J44/100,0))</f>
        <v>#DIV/0!</v>
      </c>
      <c r="I48" s="198"/>
      <c r="J48" s="238"/>
    </row>
    <row r="49" spans="1:10" ht="12">
      <c r="A49" s="240"/>
      <c r="B49" s="241"/>
      <c r="C49" s="241"/>
      <c r="D49" s="241"/>
      <c r="E49" s="241"/>
      <c r="F49" s="241"/>
      <c r="G49" s="241"/>
      <c r="H49" s="176"/>
      <c r="I49" s="198"/>
      <c r="J49" s="238"/>
    </row>
    <row r="50" spans="1:10" ht="12">
      <c r="A50" s="239" t="s">
        <v>124</v>
      </c>
      <c r="B50" s="457" t="s">
        <v>125</v>
      </c>
      <c r="C50" s="457"/>
      <c r="D50" s="457"/>
      <c r="E50" s="457"/>
      <c r="F50" s="457"/>
      <c r="G50" s="457"/>
      <c r="H50" s="243" t="e">
        <f>IF(D41&lt;C12/4,(D32+D41)*H48,D32*H48)</f>
        <v>#DIV/0!</v>
      </c>
      <c r="I50" s="198"/>
      <c r="J50" s="238"/>
    </row>
    <row r="51" spans="1:10" ht="12">
      <c r="A51" s="216"/>
      <c r="B51" s="198"/>
      <c r="C51" s="198"/>
      <c r="D51" s="198"/>
      <c r="E51" s="198"/>
      <c r="F51" s="198"/>
      <c r="G51" s="198"/>
      <c r="H51" s="198"/>
      <c r="I51" s="198"/>
      <c r="J51" s="238"/>
    </row>
    <row r="52" spans="1:10" ht="12">
      <c r="A52" s="458" t="s">
        <v>126</v>
      </c>
      <c r="B52" s="458"/>
      <c r="C52" s="458"/>
      <c r="D52" s="458"/>
      <c r="E52" s="197"/>
      <c r="F52" s="198"/>
      <c r="G52" s="198"/>
      <c r="H52" s="198"/>
      <c r="I52" s="198"/>
      <c r="J52" s="238"/>
    </row>
    <row r="53" spans="1:10" ht="12.75" thickBot="1">
      <c r="A53" s="173"/>
      <c r="B53" s="172"/>
      <c r="C53" s="172"/>
      <c r="D53" s="172"/>
      <c r="E53" s="197"/>
      <c r="F53" s="198"/>
      <c r="G53" s="198"/>
      <c r="H53" s="198"/>
      <c r="I53" s="198"/>
      <c r="J53" s="238"/>
    </row>
    <row r="54" spans="1:10" ht="12.75" thickBot="1">
      <c r="A54" s="173" t="s">
        <v>127</v>
      </c>
      <c r="B54" s="172"/>
      <c r="C54" s="172"/>
      <c r="D54" s="172"/>
      <c r="E54" s="197"/>
      <c r="F54" s="198"/>
      <c r="G54" s="198"/>
      <c r="H54" s="288" t="s">
        <v>346</v>
      </c>
      <c r="I54" s="198"/>
      <c r="J54" s="238"/>
    </row>
    <row r="55" spans="1:10" ht="12">
      <c r="A55" s="240" t="s">
        <v>128</v>
      </c>
      <c r="B55" s="197"/>
      <c r="C55" s="197"/>
      <c r="D55" s="197"/>
      <c r="E55" s="197"/>
      <c r="F55" s="198"/>
      <c r="G55" s="198"/>
      <c r="H55" s="198"/>
      <c r="I55" s="198"/>
      <c r="J55" s="238"/>
    </row>
    <row r="56" spans="4:10" ht="12">
      <c r="D56" s="379">
        <f>IF(AND(C12&lt;95,C21&lt;=40),0.07,IF(AND(C12&lt;95,C21&gt;40),0.07,IF(AND(C12&gt;=95,C12&lt;110,C21&lt;=45),0.07,IF(AND(C12&gt;=95,C12&lt;110,C21&gt;45),0.08,IF(AND(C12&gt;=110,C12&lt;130,C21&lt;=50),0.08,IF(AND(C12&gt;=110,C12&lt;130,C21&gt;50),0.08,0.08))))))</f>
        <v>0.07</v>
      </c>
      <c r="E56" s="379">
        <f>IF(AND(C12&gt;=130,C12&lt;=160,C21&lt;=55),0.08,IF(AND(C12&gt;=130,C12&lt;=160,C21&gt;55),0.09,IF(AND(C12&gt;160,C21&lt;=60),0.09,0.1)))</f>
        <v>0.1</v>
      </c>
      <c r="F56" s="198"/>
      <c r="G56" s="198"/>
      <c r="H56" s="198"/>
      <c r="I56" s="198"/>
      <c r="J56" s="238"/>
    </row>
    <row r="57" spans="1:10" ht="15">
      <c r="A57" s="459" t="s">
        <v>129</v>
      </c>
      <c r="B57" s="459"/>
      <c r="C57" s="459"/>
      <c r="D57" s="380">
        <f>IF(H54="SI",0.1,IF(C12&gt;=130,E56,D56))</f>
        <v>0.07</v>
      </c>
      <c r="E57" s="399" t="s">
        <v>130</v>
      </c>
      <c r="F57" s="399"/>
      <c r="G57" s="399" t="s">
        <v>353</v>
      </c>
      <c r="H57" s="399"/>
      <c r="I57" s="399"/>
      <c r="J57" s="399"/>
    </row>
    <row r="58" spans="1:10" ht="12">
      <c r="A58" s="244"/>
      <c r="B58" s="245"/>
      <c r="C58" s="245"/>
      <c r="D58" s="246"/>
      <c r="E58" s="198"/>
      <c r="F58" s="198"/>
      <c r="G58" s="198"/>
      <c r="H58" s="198"/>
      <c r="I58" s="198"/>
      <c r="J58" s="238"/>
    </row>
    <row r="59" spans="1:10" ht="12">
      <c r="A59" s="460" t="s">
        <v>131</v>
      </c>
      <c r="B59" s="460"/>
      <c r="C59" s="460"/>
      <c r="D59" s="247" t="e">
        <f>H50</f>
        <v>#DIV/0!</v>
      </c>
      <c r="I59" s="198"/>
      <c r="J59" s="238"/>
    </row>
    <row r="60" spans="1:10" ht="12">
      <c r="A60" s="244"/>
      <c r="B60" s="245"/>
      <c r="C60" s="245"/>
      <c r="D60" s="248"/>
      <c r="E60" s="198"/>
      <c r="F60" s="198"/>
      <c r="G60" s="198"/>
      <c r="H60" s="198"/>
      <c r="I60" s="198"/>
      <c r="J60" s="238"/>
    </row>
    <row r="61" spans="1:10" ht="12">
      <c r="A61" s="450" t="s">
        <v>132</v>
      </c>
      <c r="B61" s="450"/>
      <c r="C61" s="450"/>
      <c r="D61" s="249" t="e">
        <f>D59*D56</f>
        <v>#DIV/0!</v>
      </c>
      <c r="E61" s="250"/>
      <c r="F61" s="250"/>
      <c r="G61" s="250"/>
      <c r="H61" s="250"/>
      <c r="I61" s="250"/>
      <c r="J61" s="251"/>
    </row>
    <row r="62" spans="1:10" ht="12">
      <c r="A62" s="216"/>
      <c r="B62" s="198"/>
      <c r="C62" s="198"/>
      <c r="D62" s="198"/>
      <c r="E62" s="198"/>
      <c r="F62" s="198"/>
      <c r="G62" s="198"/>
      <c r="H62" s="198"/>
      <c r="I62" s="198"/>
      <c r="J62" s="238"/>
    </row>
    <row r="63" spans="1:10" ht="12">
      <c r="A63" s="451"/>
      <c r="B63" s="451"/>
      <c r="C63" s="451"/>
      <c r="D63" s="451"/>
      <c r="E63" s="451"/>
      <c r="F63" s="451"/>
      <c r="G63" s="452"/>
      <c r="H63" s="452"/>
      <c r="I63" s="453"/>
      <c r="J63" s="453"/>
    </row>
    <row r="64" spans="1:10" ht="12">
      <c r="A64" s="252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ht="12">
      <c r="A65" s="454"/>
      <c r="B65" s="454"/>
      <c r="C65" s="454"/>
      <c r="D65" s="253"/>
      <c r="E65" s="252"/>
      <c r="F65" s="455"/>
      <c r="G65" s="455"/>
      <c r="H65" s="455"/>
      <c r="I65" s="456"/>
      <c r="J65" s="456"/>
    </row>
    <row r="66" spans="1:10" ht="12">
      <c r="A66" s="254" t="s">
        <v>348</v>
      </c>
      <c r="H66" s="198"/>
      <c r="I66" s="255"/>
      <c r="J66" s="256"/>
    </row>
    <row r="67" spans="8:10" ht="12.75" thickBot="1">
      <c r="H67" s="198"/>
      <c r="I67" s="255"/>
      <c r="J67" s="256"/>
    </row>
    <row r="68" spans="1:12" ht="15" customHeight="1">
      <c r="A68" s="448">
        <v>0</v>
      </c>
      <c r="B68" s="171" t="s">
        <v>349</v>
      </c>
      <c r="K68" s="257"/>
      <c r="L68" s="257"/>
    </row>
    <row r="69" spans="1:12" ht="12.75" customHeight="1" thickBot="1">
      <c r="A69" s="449"/>
      <c r="B69" s="171" t="s">
        <v>133</v>
      </c>
      <c r="K69" s="257"/>
      <c r="L69" s="257"/>
    </row>
    <row r="70" spans="1:2" ht="12.75" thickBot="1">
      <c r="A70" s="198"/>
      <c r="B70" s="258"/>
    </row>
    <row r="71" spans="1:2" ht="15.75" thickBot="1">
      <c r="A71" s="400">
        <v>0</v>
      </c>
      <c r="B71" s="171" t="s">
        <v>350</v>
      </c>
    </row>
    <row r="72" spans="1:2" ht="12">
      <c r="A72" s="198"/>
      <c r="B72" s="171" t="s">
        <v>134</v>
      </c>
    </row>
    <row r="73" ht="12.75" thickBot="1">
      <c r="A73" s="198"/>
    </row>
    <row r="74" spans="1:2" ht="15.75" thickBot="1">
      <c r="A74" s="401">
        <v>0</v>
      </c>
      <c r="B74" s="171" t="s">
        <v>135</v>
      </c>
    </row>
    <row r="75" spans="1:10" ht="12">
      <c r="A75" s="198"/>
      <c r="B75" s="171" t="s">
        <v>136</v>
      </c>
      <c r="C75" s="259"/>
      <c r="D75" s="259"/>
      <c r="E75" s="258"/>
      <c r="F75" s="259"/>
      <c r="G75" s="259"/>
      <c r="H75" s="259"/>
      <c r="I75" s="259"/>
      <c r="J75" s="259"/>
    </row>
    <row r="76" spans="2:10" ht="12">
      <c r="B76" s="171" t="s">
        <v>137</v>
      </c>
      <c r="C76" s="259"/>
      <c r="D76" s="259"/>
      <c r="E76" s="258"/>
      <c r="F76" s="259"/>
      <c r="G76" s="259"/>
      <c r="H76" s="259"/>
      <c r="I76" s="259"/>
      <c r="J76" s="259"/>
    </row>
    <row r="77" spans="2:12" ht="12">
      <c r="B77" s="171" t="s">
        <v>138</v>
      </c>
      <c r="K77" s="259"/>
      <c r="L77" s="259"/>
    </row>
    <row r="78" spans="2:12" ht="12">
      <c r="B78" s="171" t="s">
        <v>139</v>
      </c>
      <c r="K78" s="259"/>
      <c r="L78" s="259"/>
    </row>
    <row r="79" ht="12">
      <c r="B79" s="171" t="s">
        <v>140</v>
      </c>
    </row>
    <row r="80" ht="12">
      <c r="B80" s="171" t="s">
        <v>141</v>
      </c>
    </row>
    <row r="81" ht="12">
      <c r="B81" s="171" t="s">
        <v>142</v>
      </c>
    </row>
    <row r="82" ht="12">
      <c r="B82" s="171" t="s">
        <v>143</v>
      </c>
    </row>
    <row r="83" ht="12">
      <c r="B83" s="171" t="s">
        <v>144</v>
      </c>
    </row>
    <row r="84" ht="12.75" thickBot="1"/>
    <row r="85" spans="1:2" ht="12.75" thickBot="1">
      <c r="A85" s="261"/>
      <c r="B85" s="171" t="s">
        <v>145</v>
      </c>
    </row>
    <row r="86" ht="12.75" thickBot="1"/>
    <row r="87" spans="1:2" ht="15.75" thickBot="1">
      <c r="A87" s="262"/>
      <c r="B87" s="171" t="s">
        <v>146</v>
      </c>
    </row>
  </sheetData>
  <sheetProtection/>
  <mergeCells count="32">
    <mergeCell ref="A3:J3"/>
    <mergeCell ref="A14:C14"/>
    <mergeCell ref="A15:B15"/>
    <mergeCell ref="F15:H16"/>
    <mergeCell ref="A16:B16"/>
    <mergeCell ref="A17:B17"/>
    <mergeCell ref="A18:B18"/>
    <mergeCell ref="A19:B19"/>
    <mergeCell ref="A20:B20"/>
    <mergeCell ref="A26:D26"/>
    <mergeCell ref="F26:H26"/>
    <mergeCell ref="A27:B27"/>
    <mergeCell ref="A28:B28"/>
    <mergeCell ref="A35:D35"/>
    <mergeCell ref="A36:B36"/>
    <mergeCell ref="A37:B37"/>
    <mergeCell ref="F37:H37"/>
    <mergeCell ref="D43:F43"/>
    <mergeCell ref="B46:G46"/>
    <mergeCell ref="B48:G48"/>
    <mergeCell ref="B50:G50"/>
    <mergeCell ref="A52:D52"/>
    <mergeCell ref="A57:C57"/>
    <mergeCell ref="A59:C59"/>
    <mergeCell ref="A68:A69"/>
    <mergeCell ref="A61:C61"/>
    <mergeCell ref="A63:F63"/>
    <mergeCell ref="G63:H63"/>
    <mergeCell ref="I63:J63"/>
    <mergeCell ref="A65:C65"/>
    <mergeCell ref="F65:H65"/>
    <mergeCell ref="I65:J65"/>
  </mergeCells>
  <printOptions gridLines="1"/>
  <pageMargins left="0.3798611111111111" right="0.35" top="0.9840277777777777" bottom="0.42986111111111114" header="0.5" footer="0.42986111111111114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Calcolo Sanzione art 206 BIS"/>
  <dimension ref="A1:IV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2" sqref="E82"/>
    </sheetView>
  </sheetViews>
  <sheetFormatPr defaultColWidth="9.140625" defaultRowHeight="12.75"/>
  <cols>
    <col min="1" max="1" width="10.421875" style="54" customWidth="1"/>
    <col min="2" max="2" width="13.7109375" style="54" customWidth="1"/>
    <col min="3" max="3" width="4.28125" style="54" customWidth="1"/>
    <col min="4" max="4" width="7.7109375" style="54" customWidth="1"/>
    <col min="5" max="5" width="8.7109375" style="54" customWidth="1"/>
    <col min="6" max="6" width="5.7109375" style="54" customWidth="1"/>
    <col min="7" max="7" width="9.421875" style="54" customWidth="1"/>
    <col min="8" max="8" width="3.57421875" style="54" customWidth="1"/>
    <col min="9" max="9" width="10.7109375" style="54" customWidth="1"/>
    <col min="10" max="10" width="8.7109375" style="54" customWidth="1"/>
    <col min="11" max="11" width="3.7109375" style="55" customWidth="1"/>
    <col min="12" max="12" width="17.00390625" style="54" customWidth="1"/>
    <col min="13" max="16384" width="9.140625" style="54" customWidth="1"/>
  </cols>
  <sheetData>
    <row r="1" spans="1:12" ht="18.75">
      <c r="A1" s="503" t="s">
        <v>242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1:12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56" ht="12.75">
      <c r="A3" s="1"/>
      <c r="B3" s="2" t="s">
        <v>0</v>
      </c>
      <c r="C3" s="3"/>
      <c r="D3" s="4"/>
      <c r="E3" s="504"/>
      <c r="F3" s="504"/>
      <c r="G3" s="504"/>
      <c r="H3" s="504"/>
      <c r="I3" s="504"/>
      <c r="J3" s="504"/>
      <c r="K3" s="5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"/>
      <c r="B4" s="505" t="s">
        <v>1</v>
      </c>
      <c r="C4" s="505"/>
      <c r="D4" s="505"/>
      <c r="E4" s="506"/>
      <c r="F4" s="506"/>
      <c r="G4" s="506"/>
      <c r="H4" s="506"/>
      <c r="I4" s="506"/>
      <c r="J4" s="506"/>
      <c r="K4" s="50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ht="18.7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7"/>
      <c r="B6" s="59" t="s">
        <v>243</v>
      </c>
      <c r="C6" s="60"/>
      <c r="D6" s="60"/>
      <c r="E6" s="60"/>
      <c r="F6" s="61"/>
      <c r="G6" s="58"/>
      <c r="H6" s="58"/>
      <c r="I6" s="58"/>
      <c r="J6" s="58"/>
      <c r="K6" s="58"/>
      <c r="L6" s="58"/>
    </row>
    <row r="7" spans="2:9" ht="12" customHeight="1">
      <c r="B7" s="54" t="s">
        <v>244</v>
      </c>
      <c r="I7" s="54" t="s">
        <v>245</v>
      </c>
    </row>
    <row r="8" spans="2:12" ht="18.75" customHeight="1">
      <c r="B8" s="62" t="s">
        <v>246</v>
      </c>
      <c r="E8" s="63">
        <v>1972</v>
      </c>
      <c r="F8" s="64">
        <f>IF(E8&lt;=1975,1975,E8)</f>
        <v>1975</v>
      </c>
      <c r="G8" s="65" t="s">
        <v>247</v>
      </c>
      <c r="I8" s="507" t="s">
        <v>248</v>
      </c>
      <c r="J8" s="507"/>
      <c r="K8" s="507"/>
      <c r="L8" s="63">
        <v>2020</v>
      </c>
    </row>
    <row r="9" ht="21" customHeight="1"/>
    <row r="10" spans="2:14" ht="15.75">
      <c r="B10" s="66"/>
      <c r="C10" s="66"/>
      <c r="D10" s="66"/>
      <c r="E10" s="67" t="s">
        <v>249</v>
      </c>
      <c r="F10" s="68"/>
      <c r="G10" s="68"/>
      <c r="H10" s="68"/>
      <c r="N10" s="65"/>
    </row>
    <row r="11" spans="2:8" ht="15.75">
      <c r="B11" s="66"/>
      <c r="C11" s="66"/>
      <c r="D11" s="66"/>
      <c r="E11" s="67"/>
      <c r="F11" s="68"/>
      <c r="G11" s="68"/>
      <c r="H11" s="68"/>
    </row>
    <row r="12" spans="1:12" s="55" customFormat="1" ht="15">
      <c r="A12" s="489" t="s">
        <v>250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</row>
    <row r="13" spans="1:12" ht="30" customHeight="1">
      <c r="A13" s="501" t="s">
        <v>251</v>
      </c>
      <c r="B13" s="501"/>
      <c r="C13" s="501"/>
      <c r="D13" s="501"/>
      <c r="E13" s="69" t="s">
        <v>252</v>
      </c>
      <c r="F13" s="70" t="s">
        <v>253</v>
      </c>
      <c r="G13" s="71" t="s">
        <v>254</v>
      </c>
      <c r="H13" s="72"/>
      <c r="I13" s="73" t="s">
        <v>255</v>
      </c>
      <c r="J13" s="74" t="s">
        <v>256</v>
      </c>
      <c r="K13" s="75"/>
      <c r="L13" s="76" t="s">
        <v>257</v>
      </c>
    </row>
    <row r="14" spans="1:12" ht="17.25">
      <c r="A14" s="501"/>
      <c r="B14" s="501"/>
      <c r="C14" s="501"/>
      <c r="D14" s="501"/>
      <c r="E14" s="77" t="s">
        <v>258</v>
      </c>
      <c r="F14" s="78"/>
      <c r="G14" s="77" t="s">
        <v>258</v>
      </c>
      <c r="H14" s="79"/>
      <c r="I14" s="77" t="s">
        <v>258</v>
      </c>
      <c r="J14" s="80"/>
      <c r="K14" s="81"/>
      <c r="L14" s="77" t="s">
        <v>258</v>
      </c>
    </row>
    <row r="15" spans="1:19" ht="18" customHeight="1">
      <c r="A15" s="499" t="s">
        <v>259</v>
      </c>
      <c r="B15" s="499"/>
      <c r="C15" s="499"/>
      <c r="D15" s="82"/>
      <c r="E15" s="83">
        <v>16</v>
      </c>
      <c r="F15" s="84" t="s">
        <v>260</v>
      </c>
      <c r="G15" s="83"/>
      <c r="H15" s="85" t="s">
        <v>261</v>
      </c>
      <c r="I15" s="83">
        <f aca="true" t="shared" si="0" ref="I15:I22">E15+0.3*G15</f>
        <v>16</v>
      </c>
      <c r="J15" s="83">
        <v>1</v>
      </c>
      <c r="K15" s="85" t="s">
        <v>261</v>
      </c>
      <c r="L15" s="83">
        <f aca="true" t="shared" si="1" ref="L15:L22">I15*J15</f>
        <v>16</v>
      </c>
      <c r="R15" s="86"/>
      <c r="S15" s="86"/>
    </row>
    <row r="16" spans="1:12" ht="18" customHeight="1">
      <c r="A16" s="499" t="s">
        <v>262</v>
      </c>
      <c r="B16" s="499"/>
      <c r="C16" s="499"/>
      <c r="D16" s="82"/>
      <c r="E16" s="83"/>
      <c r="F16" s="84" t="s">
        <v>260</v>
      </c>
      <c r="G16" s="83"/>
      <c r="H16" s="85" t="s">
        <v>261</v>
      </c>
      <c r="I16" s="83">
        <f t="shared" si="0"/>
        <v>0</v>
      </c>
      <c r="J16" s="83">
        <v>1.1</v>
      </c>
      <c r="K16" s="85" t="s">
        <v>261</v>
      </c>
      <c r="L16" s="83">
        <f t="shared" si="1"/>
        <v>0</v>
      </c>
    </row>
    <row r="17" spans="1:12" ht="18" customHeight="1">
      <c r="A17" s="499" t="s">
        <v>263</v>
      </c>
      <c r="B17" s="499"/>
      <c r="C17" s="499"/>
      <c r="D17" s="82"/>
      <c r="E17" s="83"/>
      <c r="F17" s="84" t="s">
        <v>260</v>
      </c>
      <c r="G17" s="83"/>
      <c r="H17" s="85" t="s">
        <v>261</v>
      </c>
      <c r="I17" s="83">
        <f t="shared" si="0"/>
        <v>0</v>
      </c>
      <c r="J17" s="83">
        <v>1.2</v>
      </c>
      <c r="K17" s="85" t="s">
        <v>261</v>
      </c>
      <c r="L17" s="83">
        <f t="shared" si="1"/>
        <v>0</v>
      </c>
    </row>
    <row r="18" spans="1:12" ht="18" customHeight="1">
      <c r="A18" s="499" t="s">
        <v>264</v>
      </c>
      <c r="B18" s="499"/>
      <c r="C18" s="499"/>
      <c r="D18" s="82"/>
      <c r="E18" s="83"/>
      <c r="F18" s="84" t="s">
        <v>260</v>
      </c>
      <c r="G18" s="83"/>
      <c r="H18" s="85" t="s">
        <v>261</v>
      </c>
      <c r="I18" s="83">
        <f t="shared" si="0"/>
        <v>0</v>
      </c>
      <c r="J18" s="83">
        <v>0.5</v>
      </c>
      <c r="K18" s="85" t="s">
        <v>261</v>
      </c>
      <c r="L18" s="83">
        <f t="shared" si="1"/>
        <v>0</v>
      </c>
    </row>
    <row r="19" spans="1:12" ht="18" customHeight="1">
      <c r="A19" s="502" t="s">
        <v>265</v>
      </c>
      <c r="B19" s="502"/>
      <c r="C19" s="502"/>
      <c r="D19" s="82"/>
      <c r="E19" s="83"/>
      <c r="F19" s="84" t="s">
        <v>260</v>
      </c>
      <c r="G19" s="83"/>
      <c r="H19" s="85" t="s">
        <v>261</v>
      </c>
      <c r="I19" s="83">
        <f t="shared" si="0"/>
        <v>0</v>
      </c>
      <c r="J19" s="83">
        <v>0.2</v>
      </c>
      <c r="K19" s="85" t="s">
        <v>261</v>
      </c>
      <c r="L19" s="83">
        <f t="shared" si="1"/>
        <v>0</v>
      </c>
    </row>
    <row r="20" spans="1:12" ht="18" customHeight="1">
      <c r="A20" s="499" t="s">
        <v>266</v>
      </c>
      <c r="B20" s="499"/>
      <c r="C20" s="499"/>
      <c r="D20" s="82"/>
      <c r="E20" s="83"/>
      <c r="F20" s="84" t="s">
        <v>260</v>
      </c>
      <c r="G20" s="83"/>
      <c r="H20" s="85" t="s">
        <v>261</v>
      </c>
      <c r="I20" s="83">
        <f t="shared" si="0"/>
        <v>0</v>
      </c>
      <c r="J20" s="83">
        <v>0.25</v>
      </c>
      <c r="K20" s="85" t="s">
        <v>261</v>
      </c>
      <c r="L20" s="83">
        <f t="shared" si="1"/>
        <v>0</v>
      </c>
    </row>
    <row r="21" spans="1:12" ht="18" customHeight="1">
      <c r="A21" s="499" t="s">
        <v>267</v>
      </c>
      <c r="B21" s="499"/>
      <c r="C21" s="499"/>
      <c r="D21" s="82"/>
      <c r="E21" s="83"/>
      <c r="F21" s="84" t="s">
        <v>260</v>
      </c>
      <c r="G21" s="83"/>
      <c r="H21" s="85" t="s">
        <v>261</v>
      </c>
      <c r="I21" s="83">
        <f t="shared" si="0"/>
        <v>0</v>
      </c>
      <c r="J21" s="83">
        <v>0.15</v>
      </c>
      <c r="K21" s="85" t="s">
        <v>261</v>
      </c>
      <c r="L21" s="83">
        <f t="shared" si="1"/>
        <v>0</v>
      </c>
    </row>
    <row r="22" spans="1:12" ht="18" customHeight="1">
      <c r="A22" s="499" t="s">
        <v>268</v>
      </c>
      <c r="B22" s="499"/>
      <c r="C22" s="499"/>
      <c r="D22" s="82"/>
      <c r="E22" s="83"/>
      <c r="F22" s="84" t="s">
        <v>260</v>
      </c>
      <c r="G22" s="83"/>
      <c r="H22" s="85" t="s">
        <v>261</v>
      </c>
      <c r="I22" s="83">
        <f t="shared" si="0"/>
        <v>0</v>
      </c>
      <c r="J22" s="83">
        <v>0.1</v>
      </c>
      <c r="K22" s="85" t="s">
        <v>261</v>
      </c>
      <c r="L22" s="83">
        <f t="shared" si="1"/>
        <v>0</v>
      </c>
    </row>
    <row r="23" spans="1:12" ht="18" customHeight="1">
      <c r="A23" s="87"/>
      <c r="B23" s="88"/>
      <c r="C23" s="88"/>
      <c r="D23" s="88"/>
      <c r="E23" s="89"/>
      <c r="F23" s="90"/>
      <c r="G23" s="90"/>
      <c r="H23" s="90"/>
      <c r="I23" s="91"/>
      <c r="J23" s="92" t="s">
        <v>269</v>
      </c>
      <c r="K23" s="93" t="s">
        <v>261</v>
      </c>
      <c r="L23" s="94">
        <f>SUM(L15:L22)</f>
        <v>16</v>
      </c>
    </row>
    <row r="24" spans="1:12" ht="18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86"/>
      <c r="L24" s="95"/>
    </row>
    <row r="25" spans="1:12" ht="18" customHeight="1">
      <c r="A25" s="489" t="s">
        <v>270</v>
      </c>
      <c r="B25" s="489"/>
      <c r="C25" s="489"/>
      <c r="D25" s="489"/>
      <c r="E25" s="489"/>
      <c r="F25" s="95"/>
      <c r="G25" s="95"/>
      <c r="H25" s="489" t="s">
        <v>271</v>
      </c>
      <c r="I25" s="489"/>
      <c r="J25" s="489"/>
      <c r="K25" s="489"/>
      <c r="L25" s="489"/>
    </row>
    <row r="26" spans="1:12" ht="18" customHeight="1">
      <c r="A26" s="96"/>
      <c r="B26" s="95"/>
      <c r="C26" s="95"/>
      <c r="D26" s="95"/>
      <c r="E26" s="97"/>
      <c r="F26" s="95"/>
      <c r="G26" s="95"/>
      <c r="H26" s="95"/>
      <c r="I26" s="95"/>
      <c r="J26" s="98" t="s">
        <v>272</v>
      </c>
      <c r="K26" s="99"/>
      <c r="L26" s="100" t="s">
        <v>273</v>
      </c>
    </row>
    <row r="27" spans="1:12" ht="18" customHeight="1">
      <c r="A27" s="500" t="s">
        <v>274</v>
      </c>
      <c r="B27" s="500"/>
      <c r="C27" s="102"/>
      <c r="D27" s="101"/>
      <c r="E27" s="101" t="s">
        <v>273</v>
      </c>
      <c r="F27" s="95"/>
      <c r="G27" s="95"/>
      <c r="H27" s="95"/>
      <c r="I27" s="95"/>
      <c r="J27" s="103" t="s">
        <v>275</v>
      </c>
      <c r="K27" s="104">
        <f>IF($L$8-$E$8&lt;=5,"X","")</f>
      </c>
      <c r="L27" s="105">
        <v>1</v>
      </c>
    </row>
    <row r="28" spans="1:12" ht="18" customHeight="1">
      <c r="A28" s="493" t="s">
        <v>276</v>
      </c>
      <c r="B28" s="493"/>
      <c r="C28" s="106"/>
      <c r="D28" s="107" t="s">
        <v>277</v>
      </c>
      <c r="E28" s="108">
        <v>2</v>
      </c>
      <c r="F28" s="95"/>
      <c r="G28" s="95"/>
      <c r="H28" s="95"/>
      <c r="I28" s="95"/>
      <c r="J28" s="109">
        <v>6</v>
      </c>
      <c r="K28" s="104">
        <f aca="true" t="shared" si="2" ref="K28:K73">IF($L$8-$E$8=J28,"X","")</f>
      </c>
      <c r="L28" s="110">
        <f aca="true" t="shared" si="3" ref="L28:L42">L27-0.01</f>
        <v>0.99</v>
      </c>
    </row>
    <row r="29" spans="1:12" ht="18" customHeight="1">
      <c r="A29" s="494" t="s">
        <v>278</v>
      </c>
      <c r="B29" s="494"/>
      <c r="C29" s="106" t="s">
        <v>247</v>
      </c>
      <c r="D29" s="111" t="s">
        <v>279</v>
      </c>
      <c r="E29" s="112">
        <v>1.25</v>
      </c>
      <c r="F29" s="95"/>
      <c r="G29" s="95"/>
      <c r="H29" s="95"/>
      <c r="I29" s="95"/>
      <c r="J29" s="109">
        <f aca="true" t="shared" si="4" ref="J29:J50">J28+1</f>
        <v>7</v>
      </c>
      <c r="K29" s="104">
        <f t="shared" si="2"/>
      </c>
      <c r="L29" s="110">
        <f t="shared" si="3"/>
        <v>0.98</v>
      </c>
    </row>
    <row r="30" spans="1:12" ht="18" customHeight="1">
      <c r="A30" s="494" t="s">
        <v>280</v>
      </c>
      <c r="B30" s="494"/>
      <c r="C30" s="106"/>
      <c r="D30" s="111" t="s">
        <v>281</v>
      </c>
      <c r="E30" s="112">
        <v>1.05</v>
      </c>
      <c r="F30" s="95"/>
      <c r="G30" s="95"/>
      <c r="H30" s="95"/>
      <c r="I30" s="95"/>
      <c r="J30" s="109">
        <f t="shared" si="4"/>
        <v>8</v>
      </c>
      <c r="K30" s="104">
        <f t="shared" si="2"/>
      </c>
      <c r="L30" s="110">
        <f t="shared" si="3"/>
        <v>0.97</v>
      </c>
    </row>
    <row r="31" spans="1:12" ht="18" customHeight="1">
      <c r="A31" s="494" t="s">
        <v>282</v>
      </c>
      <c r="B31" s="494"/>
      <c r="C31" s="106"/>
      <c r="D31" s="111" t="s">
        <v>283</v>
      </c>
      <c r="E31" s="112">
        <v>0.8</v>
      </c>
      <c r="F31" s="95"/>
      <c r="G31" s="95"/>
      <c r="H31" s="95"/>
      <c r="I31" s="95"/>
      <c r="J31" s="109">
        <f t="shared" si="4"/>
        <v>9</v>
      </c>
      <c r="K31" s="104">
        <f t="shared" si="2"/>
      </c>
      <c r="L31" s="110">
        <f t="shared" si="3"/>
        <v>0.96</v>
      </c>
    </row>
    <row r="32" spans="1:12" ht="18" customHeight="1">
      <c r="A32" s="494" t="s">
        <v>284</v>
      </c>
      <c r="B32" s="494"/>
      <c r="C32" s="106"/>
      <c r="D32" s="111" t="s">
        <v>285</v>
      </c>
      <c r="E32" s="112">
        <v>0.5</v>
      </c>
      <c r="F32" s="95"/>
      <c r="G32" s="95"/>
      <c r="H32" s="95"/>
      <c r="I32" s="95"/>
      <c r="J32" s="109">
        <f t="shared" si="4"/>
        <v>10</v>
      </c>
      <c r="K32" s="104">
        <f t="shared" si="2"/>
      </c>
      <c r="L32" s="110">
        <f t="shared" si="3"/>
        <v>0.95</v>
      </c>
    </row>
    <row r="33" spans="1:12" ht="18" customHeight="1">
      <c r="A33" s="494" t="s">
        <v>286</v>
      </c>
      <c r="B33" s="494"/>
      <c r="C33" s="106"/>
      <c r="D33" s="111" t="s">
        <v>287</v>
      </c>
      <c r="E33" s="112">
        <v>0.7</v>
      </c>
      <c r="F33" s="95"/>
      <c r="G33" s="95"/>
      <c r="H33" s="95"/>
      <c r="I33" s="95"/>
      <c r="J33" s="109">
        <f t="shared" si="4"/>
        <v>11</v>
      </c>
      <c r="K33" s="104">
        <f t="shared" si="2"/>
      </c>
      <c r="L33" s="110">
        <f t="shared" si="3"/>
        <v>0.94</v>
      </c>
    </row>
    <row r="34" spans="1:12" ht="18" customHeight="1">
      <c r="A34" s="494" t="s">
        <v>288</v>
      </c>
      <c r="B34" s="494"/>
      <c r="C34" s="106"/>
      <c r="D34" s="111" t="s">
        <v>289</v>
      </c>
      <c r="E34" s="112">
        <v>1.4</v>
      </c>
      <c r="F34" s="95"/>
      <c r="G34" s="95"/>
      <c r="H34" s="95"/>
      <c r="I34" s="95"/>
      <c r="J34" s="109">
        <f t="shared" si="4"/>
        <v>12</v>
      </c>
      <c r="K34" s="104">
        <f t="shared" si="2"/>
      </c>
      <c r="L34" s="110">
        <f t="shared" si="3"/>
        <v>0.9299999999999999</v>
      </c>
    </row>
    <row r="35" spans="1:12" ht="18" customHeight="1">
      <c r="A35" s="497" t="s">
        <v>290</v>
      </c>
      <c r="B35" s="497"/>
      <c r="C35" s="106"/>
      <c r="D35" s="111" t="s">
        <v>291</v>
      </c>
      <c r="E35" s="112">
        <v>0.8</v>
      </c>
      <c r="F35" s="95"/>
      <c r="G35" s="95"/>
      <c r="H35" s="95"/>
      <c r="I35" s="95"/>
      <c r="J35" s="109">
        <f t="shared" si="4"/>
        <v>13</v>
      </c>
      <c r="K35" s="104">
        <f t="shared" si="2"/>
      </c>
      <c r="L35" s="110">
        <f t="shared" si="3"/>
        <v>0.9199999999999999</v>
      </c>
    </row>
    <row r="36" spans="1:12" ht="18" customHeight="1">
      <c r="A36" s="95"/>
      <c r="B36" s="113"/>
      <c r="C36" s="114"/>
      <c r="D36" s="115"/>
      <c r="E36" s="95"/>
      <c r="F36" s="95"/>
      <c r="G36" s="95"/>
      <c r="H36" s="95"/>
      <c r="J36" s="109">
        <f t="shared" si="4"/>
        <v>14</v>
      </c>
      <c r="K36" s="104">
        <f t="shared" si="2"/>
      </c>
      <c r="L36" s="110">
        <f t="shared" si="3"/>
        <v>0.9099999999999999</v>
      </c>
    </row>
    <row r="37" spans="1:12" ht="18" customHeight="1">
      <c r="A37" s="489" t="s">
        <v>292</v>
      </c>
      <c r="B37" s="489"/>
      <c r="C37" s="489"/>
      <c r="D37" s="489"/>
      <c r="E37" s="86"/>
      <c r="F37" s="86"/>
      <c r="G37" s="95"/>
      <c r="H37" s="95"/>
      <c r="J37" s="109">
        <f t="shared" si="4"/>
        <v>15</v>
      </c>
      <c r="K37" s="104">
        <f t="shared" si="2"/>
      </c>
      <c r="L37" s="110">
        <f t="shared" si="3"/>
        <v>0.8999999999999999</v>
      </c>
    </row>
    <row r="38" spans="1:12" ht="18" customHeight="1">
      <c r="A38" s="498" t="s">
        <v>293</v>
      </c>
      <c r="B38" s="498"/>
      <c r="C38" s="498"/>
      <c r="D38" s="498"/>
      <c r="E38" s="96"/>
      <c r="F38" s="95"/>
      <c r="G38" s="95"/>
      <c r="H38" s="95"/>
      <c r="J38" s="109">
        <f t="shared" si="4"/>
        <v>16</v>
      </c>
      <c r="K38" s="104">
        <f t="shared" si="2"/>
      </c>
      <c r="L38" s="110">
        <f t="shared" si="3"/>
        <v>0.8899999999999999</v>
      </c>
    </row>
    <row r="39" spans="1:12" ht="18" customHeight="1">
      <c r="A39" s="116" t="s">
        <v>294</v>
      </c>
      <c r="B39" s="116"/>
      <c r="C39" s="117"/>
      <c r="D39" s="116" t="s">
        <v>273</v>
      </c>
      <c r="E39" s="96"/>
      <c r="F39" s="95"/>
      <c r="G39" s="95"/>
      <c r="H39" s="95"/>
      <c r="J39" s="109">
        <f t="shared" si="4"/>
        <v>17</v>
      </c>
      <c r="K39" s="104">
        <f t="shared" si="2"/>
      </c>
      <c r="L39" s="110">
        <f t="shared" si="3"/>
        <v>0.8799999999999999</v>
      </c>
    </row>
    <row r="40" spans="1:12" ht="18" customHeight="1">
      <c r="A40" s="107" t="s">
        <v>295</v>
      </c>
      <c r="B40" s="107" t="s">
        <v>295</v>
      </c>
      <c r="C40" s="106"/>
      <c r="D40" s="108">
        <v>0.85</v>
      </c>
      <c r="E40" s="96"/>
      <c r="F40" s="95"/>
      <c r="G40" s="95"/>
      <c r="H40" s="95"/>
      <c r="J40" s="109">
        <f t="shared" si="4"/>
        <v>18</v>
      </c>
      <c r="K40" s="104">
        <f t="shared" si="2"/>
      </c>
      <c r="L40" s="110">
        <f t="shared" si="3"/>
        <v>0.8699999999999999</v>
      </c>
    </row>
    <row r="41" spans="1:12" ht="18" customHeight="1">
      <c r="A41" s="494" t="s">
        <v>296</v>
      </c>
      <c r="B41" s="494" t="s">
        <v>297</v>
      </c>
      <c r="C41" s="118"/>
      <c r="D41" s="112">
        <v>1</v>
      </c>
      <c r="E41" s="96"/>
      <c r="F41" s="95"/>
      <c r="G41" s="95"/>
      <c r="H41" s="95"/>
      <c r="J41" s="109">
        <f t="shared" si="4"/>
        <v>19</v>
      </c>
      <c r="K41" s="104">
        <f t="shared" si="2"/>
      </c>
      <c r="L41" s="110">
        <f t="shared" si="3"/>
        <v>0.8599999999999999</v>
      </c>
    </row>
    <row r="42" spans="1:12" ht="18" customHeight="1">
      <c r="A42" s="494" t="s">
        <v>298</v>
      </c>
      <c r="B42" s="494" t="s">
        <v>299</v>
      </c>
      <c r="C42" s="118" t="s">
        <v>247</v>
      </c>
      <c r="D42" s="112">
        <v>1.2</v>
      </c>
      <c r="E42" s="96"/>
      <c r="F42" s="95"/>
      <c r="G42" s="95"/>
      <c r="H42" s="95"/>
      <c r="J42" s="109">
        <f t="shared" si="4"/>
        <v>20</v>
      </c>
      <c r="K42" s="104">
        <f t="shared" si="2"/>
      </c>
      <c r="L42" s="110">
        <f t="shared" si="3"/>
        <v>0.8499999999999999</v>
      </c>
    </row>
    <row r="43" spans="1:12" ht="18" customHeight="1">
      <c r="A43" s="494" t="s">
        <v>300</v>
      </c>
      <c r="B43" s="494" t="s">
        <v>283</v>
      </c>
      <c r="C43" s="118"/>
      <c r="D43" s="112">
        <v>1.2</v>
      </c>
      <c r="E43" s="96"/>
      <c r="F43" s="95"/>
      <c r="G43" s="95"/>
      <c r="H43" s="95"/>
      <c r="J43" s="109">
        <f t="shared" si="4"/>
        <v>21</v>
      </c>
      <c r="K43" s="104">
        <f t="shared" si="2"/>
      </c>
      <c r="L43" s="110">
        <f aca="true" t="shared" si="5" ref="L43:L50">L42-0.005</f>
        <v>0.8449999999999999</v>
      </c>
    </row>
    <row r="44" spans="1:12" ht="18" customHeight="1">
      <c r="A44" s="494" t="s">
        <v>301</v>
      </c>
      <c r="B44" s="494" t="s">
        <v>285</v>
      </c>
      <c r="C44" s="118"/>
      <c r="D44" s="112">
        <v>1.3</v>
      </c>
      <c r="E44" s="96"/>
      <c r="F44" s="95"/>
      <c r="G44" s="95"/>
      <c r="H44" s="95"/>
      <c r="J44" s="109">
        <f t="shared" si="4"/>
        <v>22</v>
      </c>
      <c r="K44" s="104">
        <f t="shared" si="2"/>
      </c>
      <c r="L44" s="110">
        <f t="shared" si="5"/>
        <v>0.8399999999999999</v>
      </c>
    </row>
    <row r="45" spans="1:12" ht="18" customHeight="1">
      <c r="A45" s="119" t="s">
        <v>302</v>
      </c>
      <c r="B45" s="120"/>
      <c r="C45" s="120"/>
      <c r="D45" s="121"/>
      <c r="E45" s="95"/>
      <c r="F45" s="95"/>
      <c r="G45" s="95"/>
      <c r="H45" s="95"/>
      <c r="J45" s="109">
        <f t="shared" si="4"/>
        <v>23</v>
      </c>
      <c r="K45" s="104">
        <f t="shared" si="2"/>
      </c>
      <c r="L45" s="110">
        <f t="shared" si="5"/>
        <v>0.8349999999999999</v>
      </c>
    </row>
    <row r="46" spans="1:12" ht="18" customHeight="1">
      <c r="A46" s="495" t="s">
        <v>294</v>
      </c>
      <c r="B46" s="495"/>
      <c r="C46" s="117"/>
      <c r="D46" s="116" t="s">
        <v>273</v>
      </c>
      <c r="E46" s="122"/>
      <c r="F46" s="95"/>
      <c r="G46" s="95"/>
      <c r="H46" s="95"/>
      <c r="J46" s="109">
        <f t="shared" si="4"/>
        <v>24</v>
      </c>
      <c r="K46" s="104">
        <f t="shared" si="2"/>
      </c>
      <c r="L46" s="110">
        <f t="shared" si="5"/>
        <v>0.8299999999999998</v>
      </c>
    </row>
    <row r="47" spans="1:12" ht="18" customHeight="1">
      <c r="A47" s="496" t="s">
        <v>295</v>
      </c>
      <c r="B47" s="496" t="s">
        <v>295</v>
      </c>
      <c r="C47" s="104"/>
      <c r="D47" s="108">
        <v>0.85</v>
      </c>
      <c r="E47" s="123"/>
      <c r="F47" s="95"/>
      <c r="G47" s="95"/>
      <c r="H47" s="95"/>
      <c r="J47" s="109">
        <f t="shared" si="4"/>
        <v>25</v>
      </c>
      <c r="K47" s="104">
        <f t="shared" si="2"/>
      </c>
      <c r="L47" s="110">
        <f t="shared" si="5"/>
        <v>0.8249999999999998</v>
      </c>
    </row>
    <row r="48" spans="1:12" ht="18" customHeight="1">
      <c r="A48" s="494" t="s">
        <v>303</v>
      </c>
      <c r="B48" s="494" t="s">
        <v>297</v>
      </c>
      <c r="C48" s="124"/>
      <c r="D48" s="112">
        <v>1</v>
      </c>
      <c r="E48" s="96"/>
      <c r="F48" s="95"/>
      <c r="G48" s="95"/>
      <c r="H48" s="95"/>
      <c r="I48" s="95"/>
      <c r="J48" s="109">
        <f t="shared" si="4"/>
        <v>26</v>
      </c>
      <c r="K48" s="104">
        <f t="shared" si="2"/>
      </c>
      <c r="L48" s="110">
        <f t="shared" si="5"/>
        <v>0.8199999999999998</v>
      </c>
    </row>
    <row r="49" spans="1:12" ht="18" customHeight="1">
      <c r="A49" s="494" t="s">
        <v>301</v>
      </c>
      <c r="B49" s="494" t="s">
        <v>285</v>
      </c>
      <c r="C49" s="124"/>
      <c r="D49" s="112">
        <v>1.1</v>
      </c>
      <c r="E49" s="96"/>
      <c r="F49" s="95"/>
      <c r="G49" s="95"/>
      <c r="H49" s="95"/>
      <c r="I49" s="95"/>
      <c r="J49" s="109">
        <f t="shared" si="4"/>
        <v>27</v>
      </c>
      <c r="K49" s="104">
        <f t="shared" si="2"/>
      </c>
      <c r="L49" s="110">
        <f t="shared" si="5"/>
        <v>0.8149999999999998</v>
      </c>
    </row>
    <row r="50" spans="1:12" ht="18" customHeight="1">
      <c r="A50" s="95"/>
      <c r="B50" s="95"/>
      <c r="C50" s="95"/>
      <c r="D50" s="125"/>
      <c r="E50" s="95"/>
      <c r="F50" s="95"/>
      <c r="G50" s="95"/>
      <c r="H50" s="95"/>
      <c r="I50" s="95"/>
      <c r="J50" s="109">
        <f t="shared" si="4"/>
        <v>28</v>
      </c>
      <c r="K50" s="104">
        <f t="shared" si="2"/>
      </c>
      <c r="L50" s="110">
        <f t="shared" si="5"/>
        <v>0.8099999999999998</v>
      </c>
    </row>
    <row r="51" spans="1:12" ht="18" customHeight="1">
      <c r="A51" s="489" t="s">
        <v>304</v>
      </c>
      <c r="B51" s="489"/>
      <c r="C51" s="489"/>
      <c r="D51" s="489"/>
      <c r="E51" s="95"/>
      <c r="F51" s="95"/>
      <c r="G51" s="95"/>
      <c r="H51" s="95"/>
      <c r="I51" s="95"/>
      <c r="J51" s="109">
        <v>29</v>
      </c>
      <c r="K51" s="104">
        <f t="shared" si="2"/>
      </c>
      <c r="L51" s="110">
        <v>0.805</v>
      </c>
    </row>
    <row r="52" spans="1:12" ht="18" customHeight="1">
      <c r="A52" s="492" t="s">
        <v>305</v>
      </c>
      <c r="B52" s="492"/>
      <c r="C52" s="127"/>
      <c r="D52" s="128" t="s">
        <v>273</v>
      </c>
      <c r="E52" s="95"/>
      <c r="F52" s="95"/>
      <c r="G52" s="95"/>
      <c r="H52" s="95"/>
      <c r="I52" s="95"/>
      <c r="J52" s="109">
        <v>30</v>
      </c>
      <c r="K52" s="104">
        <f t="shared" si="2"/>
      </c>
      <c r="L52" s="110">
        <v>0.8</v>
      </c>
    </row>
    <row r="53" spans="1:12" ht="18" customHeight="1">
      <c r="A53" s="493" t="s">
        <v>306</v>
      </c>
      <c r="B53" s="493"/>
      <c r="C53" s="129"/>
      <c r="D53" s="108">
        <v>0.8</v>
      </c>
      <c r="E53" s="95"/>
      <c r="F53" s="95"/>
      <c r="G53" s="95"/>
      <c r="H53" s="95"/>
      <c r="I53" s="95"/>
      <c r="J53" s="109">
        <v>31</v>
      </c>
      <c r="K53" s="104">
        <f t="shared" si="2"/>
      </c>
      <c r="L53" s="110">
        <v>0.795</v>
      </c>
    </row>
    <row r="54" spans="1:12" ht="18" customHeight="1">
      <c r="A54" s="494" t="s">
        <v>307</v>
      </c>
      <c r="B54" s="494"/>
      <c r="C54" s="94"/>
      <c r="D54" s="112">
        <v>0.9</v>
      </c>
      <c r="E54" s="95"/>
      <c r="F54" s="95"/>
      <c r="G54" s="95"/>
      <c r="H54" s="95"/>
      <c r="I54" s="95"/>
      <c r="J54" s="109">
        <v>32</v>
      </c>
      <c r="K54" s="104">
        <f t="shared" si="2"/>
      </c>
      <c r="L54" s="110">
        <v>0.79</v>
      </c>
    </row>
    <row r="55" spans="1:12" ht="18" customHeight="1">
      <c r="A55" s="494" t="s">
        <v>308</v>
      </c>
      <c r="B55" s="494"/>
      <c r="C55" s="94" t="s">
        <v>247</v>
      </c>
      <c r="D55" s="112">
        <v>1</v>
      </c>
      <c r="E55" s="95"/>
      <c r="F55" s="95"/>
      <c r="G55" s="95"/>
      <c r="H55" s="95"/>
      <c r="I55" s="95"/>
      <c r="J55" s="109">
        <v>33</v>
      </c>
      <c r="K55" s="104">
        <f t="shared" si="2"/>
      </c>
      <c r="L55" s="110">
        <v>0.785</v>
      </c>
    </row>
    <row r="56" spans="1:12" ht="18" customHeight="1">
      <c r="A56" s="494" t="s">
        <v>309</v>
      </c>
      <c r="B56" s="494"/>
      <c r="C56" s="94"/>
      <c r="D56" s="112">
        <v>1.2</v>
      </c>
      <c r="E56" s="95"/>
      <c r="F56" s="95"/>
      <c r="G56" s="95"/>
      <c r="H56" s="95"/>
      <c r="I56" s="95"/>
      <c r="J56" s="109">
        <v>34</v>
      </c>
      <c r="K56" s="104">
        <f t="shared" si="2"/>
      </c>
      <c r="L56" s="110">
        <v>0.78</v>
      </c>
    </row>
    <row r="57" spans="1:12" ht="18" customHeight="1">
      <c r="A57" s="95"/>
      <c r="B57" s="95"/>
      <c r="C57" s="95"/>
      <c r="D57" s="95"/>
      <c r="E57" s="95"/>
      <c r="F57" s="95"/>
      <c r="G57" s="95"/>
      <c r="H57" s="95"/>
      <c r="I57" s="95"/>
      <c r="J57" s="109">
        <v>35</v>
      </c>
      <c r="K57" s="104">
        <f t="shared" si="2"/>
      </c>
      <c r="L57" s="110">
        <v>0.775</v>
      </c>
    </row>
    <row r="58" spans="1:12" ht="18" customHeight="1">
      <c r="A58" s="95"/>
      <c r="B58" s="489" t="s">
        <v>310</v>
      </c>
      <c r="C58" s="489"/>
      <c r="D58" s="489"/>
      <c r="E58" s="86"/>
      <c r="F58" s="490" t="s">
        <v>311</v>
      </c>
      <c r="G58" s="490"/>
      <c r="H58" s="490"/>
      <c r="I58" s="95"/>
      <c r="J58" s="109">
        <v>36</v>
      </c>
      <c r="K58" s="104">
        <f t="shared" si="2"/>
      </c>
      <c r="L58" s="110">
        <v>0.77</v>
      </c>
    </row>
    <row r="59" spans="1:12" ht="18" customHeight="1">
      <c r="A59" s="95"/>
      <c r="B59" s="126" t="s">
        <v>312</v>
      </c>
      <c r="C59" s="130"/>
      <c r="D59" s="126" t="s">
        <v>273</v>
      </c>
      <c r="E59" s="96"/>
      <c r="F59" s="131">
        <v>1975</v>
      </c>
      <c r="G59" s="132">
        <v>250000</v>
      </c>
      <c r="H59" s="95"/>
      <c r="I59" s="95"/>
      <c r="J59" s="109">
        <v>37</v>
      </c>
      <c r="K59" s="104">
        <f t="shared" si="2"/>
      </c>
      <c r="L59" s="110">
        <v>0.765</v>
      </c>
    </row>
    <row r="60" spans="1:13" ht="18" customHeight="1">
      <c r="A60" s="95"/>
      <c r="B60" s="107" t="s">
        <v>313</v>
      </c>
      <c r="C60" s="106" t="s">
        <v>247</v>
      </c>
      <c r="D60" s="108">
        <v>1</v>
      </c>
      <c r="E60" s="95"/>
      <c r="F60" s="133">
        <v>1976</v>
      </c>
      <c r="G60" s="133">
        <v>285000</v>
      </c>
      <c r="H60" s="95"/>
      <c r="I60" s="95"/>
      <c r="J60" s="109">
        <v>38</v>
      </c>
      <c r="K60" s="104">
        <f t="shared" si="2"/>
      </c>
      <c r="L60" s="110">
        <v>0.76</v>
      </c>
      <c r="M60" s="95"/>
    </row>
    <row r="61" spans="1:13" ht="18" customHeight="1">
      <c r="A61" s="134"/>
      <c r="B61" s="111" t="s">
        <v>314</v>
      </c>
      <c r="C61" s="118"/>
      <c r="D61" s="112">
        <v>0.8</v>
      </c>
      <c r="E61" s="95"/>
      <c r="F61" s="133">
        <v>1977</v>
      </c>
      <c r="G61" s="133">
        <v>325000</v>
      </c>
      <c r="H61" s="95"/>
      <c r="I61" s="95"/>
      <c r="J61" s="109">
        <v>39</v>
      </c>
      <c r="K61" s="104">
        <f t="shared" si="2"/>
      </c>
      <c r="L61" s="110">
        <v>0.755</v>
      </c>
      <c r="M61" s="95"/>
    </row>
    <row r="62" spans="1:12" ht="18" customHeight="1">
      <c r="A62" s="134"/>
      <c r="B62" s="111" t="s">
        <v>315</v>
      </c>
      <c r="C62" s="118"/>
      <c r="D62" s="112">
        <v>0.6</v>
      </c>
      <c r="E62" s="95"/>
      <c r="F62" s="133">
        <v>1978</v>
      </c>
      <c r="G62" s="133">
        <v>370000</v>
      </c>
      <c r="H62" s="95"/>
      <c r="I62" s="95"/>
      <c r="J62" s="109">
        <v>40</v>
      </c>
      <c r="K62" s="104">
        <f t="shared" si="2"/>
      </c>
      <c r="L62" s="110">
        <v>0.75</v>
      </c>
    </row>
    <row r="63" spans="1:12" ht="18" customHeight="1">
      <c r="A63" s="95"/>
      <c r="B63" s="95"/>
      <c r="C63" s="95"/>
      <c r="D63" s="95"/>
      <c r="E63" s="95"/>
      <c r="F63" s="133">
        <v>1979</v>
      </c>
      <c r="G63" s="133">
        <v>430000</v>
      </c>
      <c r="H63" s="95"/>
      <c r="I63" s="95"/>
      <c r="J63" s="109">
        <v>41</v>
      </c>
      <c r="K63" s="104">
        <f t="shared" si="2"/>
      </c>
      <c r="L63" s="110">
        <v>0.745</v>
      </c>
    </row>
    <row r="64" spans="1:15" ht="18" customHeight="1">
      <c r="A64" s="95"/>
      <c r="B64" s="489" t="s">
        <v>316</v>
      </c>
      <c r="C64" s="489"/>
      <c r="D64" s="489"/>
      <c r="E64" s="95"/>
      <c r="F64" s="133">
        <v>1980</v>
      </c>
      <c r="G64" s="133">
        <v>500000</v>
      </c>
      <c r="H64" s="95"/>
      <c r="I64" s="95"/>
      <c r="J64" s="109">
        <v>42</v>
      </c>
      <c r="K64" s="104">
        <f t="shared" si="2"/>
      </c>
      <c r="L64" s="110">
        <v>0.74</v>
      </c>
      <c r="N64" s="491"/>
      <c r="O64" s="491"/>
    </row>
    <row r="65" spans="1:15" ht="18" customHeight="1">
      <c r="A65" s="95"/>
      <c r="B65" s="100" t="s">
        <v>317</v>
      </c>
      <c r="C65" s="99"/>
      <c r="D65" s="100" t="s">
        <v>273</v>
      </c>
      <c r="E65" s="95"/>
      <c r="F65" s="133">
        <v>1981</v>
      </c>
      <c r="G65" s="133">
        <v>580000</v>
      </c>
      <c r="H65" s="95"/>
      <c r="I65" s="95"/>
      <c r="J65" s="109">
        <v>43</v>
      </c>
      <c r="K65" s="104">
        <f t="shared" si="2"/>
      </c>
      <c r="L65" s="110">
        <v>0.735</v>
      </c>
      <c r="N65" s="491"/>
      <c r="O65" s="491"/>
    </row>
    <row r="66" spans="1:15" ht="18" customHeight="1">
      <c r="A66" s="95"/>
      <c r="B66" s="107" t="s">
        <v>318</v>
      </c>
      <c r="C66" s="106"/>
      <c r="D66" s="108">
        <v>1.2</v>
      </c>
      <c r="E66" s="95"/>
      <c r="F66" s="133">
        <v>1982</v>
      </c>
      <c r="G66" s="133">
        <v>680000</v>
      </c>
      <c r="H66" s="95"/>
      <c r="I66" s="95"/>
      <c r="J66" s="109">
        <v>44</v>
      </c>
      <c r="K66" s="104">
        <f t="shared" si="2"/>
      </c>
      <c r="L66" s="110">
        <v>0.73</v>
      </c>
      <c r="N66" s="491"/>
      <c r="O66" s="491"/>
    </row>
    <row r="67" spans="1:12" ht="18" customHeight="1">
      <c r="A67" s="95"/>
      <c r="B67" s="111" t="s">
        <v>319</v>
      </c>
      <c r="C67" s="118"/>
      <c r="D67" s="112">
        <v>1.1</v>
      </c>
      <c r="E67" s="95"/>
      <c r="F67" s="133">
        <v>1983</v>
      </c>
      <c r="G67" s="133">
        <v>770000</v>
      </c>
      <c r="H67" s="95"/>
      <c r="I67" s="95"/>
      <c r="J67" s="109">
        <v>45</v>
      </c>
      <c r="K67" s="104">
        <f t="shared" si="2"/>
      </c>
      <c r="L67" s="110">
        <v>0.725</v>
      </c>
    </row>
    <row r="68" spans="1:12" ht="18" customHeight="1">
      <c r="A68" s="95"/>
      <c r="B68" s="111" t="s">
        <v>320</v>
      </c>
      <c r="C68" s="118"/>
      <c r="D68" s="112">
        <v>1.05</v>
      </c>
      <c r="E68" s="95"/>
      <c r="F68" s="133">
        <v>1984</v>
      </c>
      <c r="G68" s="133">
        <v>840000</v>
      </c>
      <c r="H68" s="95"/>
      <c r="I68" s="95"/>
      <c r="J68" s="109">
        <v>46</v>
      </c>
      <c r="K68" s="104">
        <f t="shared" si="2"/>
      </c>
      <c r="L68" s="110">
        <v>0.72</v>
      </c>
    </row>
    <row r="69" spans="1:12" ht="18" customHeight="1">
      <c r="A69" s="95"/>
      <c r="B69" s="111" t="s">
        <v>321</v>
      </c>
      <c r="C69" s="118"/>
      <c r="D69" s="112">
        <v>0.95</v>
      </c>
      <c r="E69" s="95"/>
      <c r="F69" s="133">
        <v>1985</v>
      </c>
      <c r="G69" s="133">
        <v>900000</v>
      </c>
      <c r="H69" s="95"/>
      <c r="I69" s="95"/>
      <c r="J69" s="109">
        <v>47</v>
      </c>
      <c r="K69" s="104">
        <f t="shared" si="2"/>
      </c>
      <c r="L69" s="110">
        <v>0.715</v>
      </c>
    </row>
    <row r="70" spans="1:12" ht="18" customHeight="1">
      <c r="A70" s="95"/>
      <c r="B70" s="111" t="s">
        <v>322</v>
      </c>
      <c r="C70" s="118" t="s">
        <v>247</v>
      </c>
      <c r="D70" s="112">
        <v>0.9</v>
      </c>
      <c r="E70" s="95"/>
      <c r="F70" s="95"/>
      <c r="G70" s="136"/>
      <c r="H70" s="136"/>
      <c r="I70" s="136"/>
      <c r="J70" s="109">
        <v>48</v>
      </c>
      <c r="K70" s="104" t="str">
        <f t="shared" si="2"/>
        <v>X</v>
      </c>
      <c r="L70" s="110">
        <v>0.71</v>
      </c>
    </row>
    <row r="71" spans="1:12" ht="18" customHeight="1">
      <c r="A71" s="95"/>
      <c r="B71" s="111" t="s">
        <v>323</v>
      </c>
      <c r="C71" s="118"/>
      <c r="D71" s="112">
        <v>0.8</v>
      </c>
      <c r="E71" s="95"/>
      <c r="F71" s="95"/>
      <c r="G71" s="136"/>
      <c r="H71" s="136"/>
      <c r="I71" s="136"/>
      <c r="J71" s="109">
        <v>49</v>
      </c>
      <c r="K71" s="104">
        <f t="shared" si="2"/>
      </c>
      <c r="L71" s="110">
        <v>0.705</v>
      </c>
    </row>
    <row r="72" spans="1:12" ht="18" customHeight="1">
      <c r="A72" s="95"/>
      <c r="B72" s="135"/>
      <c r="C72" s="95"/>
      <c r="D72" s="137"/>
      <c r="E72" s="95"/>
      <c r="F72" s="95"/>
      <c r="G72" s="136"/>
      <c r="H72" s="136"/>
      <c r="I72" s="136"/>
      <c r="J72" s="109">
        <v>50</v>
      </c>
      <c r="K72" s="104">
        <f t="shared" si="2"/>
      </c>
      <c r="L72" s="110">
        <v>0.7</v>
      </c>
    </row>
    <row r="73" spans="1:12" ht="18" customHeight="1">
      <c r="A73" s="95"/>
      <c r="B73" s="135"/>
      <c r="C73" s="95"/>
      <c r="D73" s="137"/>
      <c r="E73" s="95"/>
      <c r="F73" s="95"/>
      <c r="G73" s="136"/>
      <c r="H73" s="136"/>
      <c r="I73" s="136"/>
      <c r="J73" s="109" t="s">
        <v>324</v>
      </c>
      <c r="K73" s="104">
        <f t="shared" si="2"/>
      </c>
      <c r="L73" s="110">
        <v>0.7</v>
      </c>
    </row>
    <row r="74" spans="1:12" ht="18" customHeight="1">
      <c r="A74" s="95"/>
      <c r="B74" s="135"/>
      <c r="C74" s="95"/>
      <c r="D74" s="95"/>
      <c r="E74" s="95"/>
      <c r="F74" s="95"/>
      <c r="G74" s="136"/>
      <c r="H74" s="136"/>
      <c r="I74" s="136"/>
      <c r="J74" s="136"/>
      <c r="K74" s="114"/>
      <c r="L74" s="114"/>
    </row>
    <row r="75" spans="1:12" ht="18" customHeight="1">
      <c r="A75" s="95"/>
      <c r="B75" s="95"/>
      <c r="C75" s="95"/>
      <c r="D75" s="95"/>
      <c r="E75" s="95"/>
      <c r="F75" s="95"/>
      <c r="G75" s="136"/>
      <c r="H75" s="136"/>
      <c r="I75" s="136"/>
      <c r="J75" s="136"/>
      <c r="K75" s="114"/>
      <c r="L75" s="114"/>
    </row>
    <row r="76" spans="1:12" ht="48" customHeight="1">
      <c r="A76" s="138" t="s">
        <v>325</v>
      </c>
      <c r="B76" s="139" t="s">
        <v>326</v>
      </c>
      <c r="C76" s="487" t="s">
        <v>327</v>
      </c>
      <c r="D76" s="487"/>
      <c r="E76" s="487" t="s">
        <v>328</v>
      </c>
      <c r="F76" s="487"/>
      <c r="G76" s="139" t="s">
        <v>329</v>
      </c>
      <c r="H76" s="487" t="s">
        <v>330</v>
      </c>
      <c r="I76" s="487"/>
      <c r="J76" s="487" t="s">
        <v>331</v>
      </c>
      <c r="K76" s="487"/>
      <c r="L76" s="140" t="s">
        <v>332</v>
      </c>
    </row>
    <row r="77" spans="1:12" ht="18" customHeight="1">
      <c r="A77" s="141">
        <f>INDEX(F59:G69,MATCH($F$8,F59:F69,0),2)/1936.27</f>
        <v>129.1142247723716</v>
      </c>
      <c r="B77" s="142">
        <f>INDEX(C28:E35,MATCH($G$8,C28:C35,0),3)</f>
        <v>1.25</v>
      </c>
      <c r="C77" s="488">
        <f>INDEX(C66:D71,MATCH($G$8,C66:C71,0),2)</f>
        <v>0.9</v>
      </c>
      <c r="D77" s="488"/>
      <c r="E77" s="488">
        <f>INDEX(C40:D49,MATCH($G$8,C40:C49,0),2)</f>
        <v>1.2</v>
      </c>
      <c r="F77" s="488"/>
      <c r="G77" s="142">
        <f>INDEX(C53:D56,MATCH($G$8,C53:C56,0),2)</f>
        <v>1</v>
      </c>
      <c r="H77" s="488">
        <f>INDEX(J27:L73,MATCH($G$8,K27:K73,0),3)</f>
        <v>0.71</v>
      </c>
      <c r="I77" s="488"/>
      <c r="J77" s="488">
        <f>INDEX(C60:D62,MATCH($G$8,C60:C62,0),2)</f>
        <v>1</v>
      </c>
      <c r="K77" s="488"/>
      <c r="L77" s="143">
        <f>A77*B77*C77*E77*G77*H77*J77</f>
        <v>123.7559844443182</v>
      </c>
    </row>
    <row r="78" spans="1:12" ht="18" customHeight="1">
      <c r="A78" s="95"/>
      <c r="B78" s="95"/>
      <c r="C78" s="95"/>
      <c r="D78" s="95"/>
      <c r="E78" s="95"/>
      <c r="F78" s="95"/>
      <c r="G78" s="136"/>
      <c r="H78" s="136"/>
      <c r="I78" s="136"/>
      <c r="J78" s="136"/>
      <c r="K78" s="114"/>
      <c r="L78" s="114"/>
    </row>
    <row r="79" ht="18" customHeight="1"/>
    <row r="80" spans="1:12" ht="18" customHeight="1">
      <c r="A80" s="55" t="s">
        <v>333</v>
      </c>
      <c r="B80" s="55"/>
      <c r="C80" s="55"/>
      <c r="D80" s="55"/>
      <c r="E80" s="55"/>
      <c r="K80" s="144" t="s">
        <v>334</v>
      </c>
      <c r="L80" s="145">
        <f>L23</f>
        <v>16</v>
      </c>
    </row>
    <row r="81" spans="1:12" ht="19.5" customHeight="1">
      <c r="A81" s="55" t="s">
        <v>335</v>
      </c>
      <c r="C81" s="54" t="s">
        <v>336</v>
      </c>
      <c r="D81" s="483" t="s">
        <v>337</v>
      </c>
      <c r="E81" s="483"/>
      <c r="F81" s="146" t="s">
        <v>338</v>
      </c>
      <c r="G81" s="484" t="s">
        <v>339</v>
      </c>
      <c r="H81" s="484"/>
      <c r="I81" s="484"/>
      <c r="J81" s="147" t="s">
        <v>338</v>
      </c>
      <c r="K81" s="485" t="s">
        <v>340</v>
      </c>
      <c r="L81" s="485"/>
    </row>
    <row r="82" spans="1:12" ht="19.5" customHeight="1">
      <c r="A82" s="55" t="s">
        <v>335</v>
      </c>
      <c r="C82" s="54" t="s">
        <v>336</v>
      </c>
      <c r="E82" s="145">
        <f>L80</f>
        <v>16</v>
      </c>
      <c r="F82" s="146" t="s">
        <v>338</v>
      </c>
      <c r="G82" s="148">
        <f>L77</f>
        <v>123.7559844443182</v>
      </c>
      <c r="H82" s="148"/>
      <c r="I82" s="149"/>
      <c r="J82" s="149"/>
      <c r="K82" s="146" t="s">
        <v>336</v>
      </c>
      <c r="L82" s="150">
        <f>L77*E82</f>
        <v>1980.0957511090912</v>
      </c>
    </row>
    <row r="83" spans="1:12" ht="19.5" customHeight="1">
      <c r="A83" s="151" t="s">
        <v>341</v>
      </c>
      <c r="B83" s="152"/>
      <c r="C83" s="153" t="s">
        <v>336</v>
      </c>
      <c r="D83" s="154"/>
      <c r="E83" s="153"/>
      <c r="F83" s="155"/>
      <c r="G83" s="156">
        <f>L82</f>
        <v>1980.0957511090912</v>
      </c>
      <c r="H83" s="157" t="s">
        <v>338</v>
      </c>
      <c r="I83" s="158">
        <v>2</v>
      </c>
      <c r="J83" s="155"/>
      <c r="K83" s="155" t="s">
        <v>336</v>
      </c>
      <c r="L83" s="159">
        <f>G83*I83</f>
        <v>3960.1915022181824</v>
      </c>
    </row>
    <row r="84" ht="19.5" customHeight="1"/>
    <row r="85" spans="1:2" s="55" customFormat="1" ht="19.5" customHeight="1">
      <c r="A85" s="160" t="s">
        <v>367</v>
      </c>
      <c r="B85" s="161">
        <f ca="1">TODAY()</f>
        <v>45309</v>
      </c>
    </row>
    <row r="87" spans="7:12" ht="15">
      <c r="G87" s="486" t="s">
        <v>342</v>
      </c>
      <c r="H87" s="486"/>
      <c r="I87" s="486"/>
      <c r="J87" s="486"/>
      <c r="K87" s="486"/>
      <c r="L87" s="486"/>
    </row>
    <row r="88" spans="7:12" ht="15">
      <c r="G88" s="486"/>
      <c r="H88" s="486"/>
      <c r="I88" s="486"/>
      <c r="J88" s="486"/>
      <c r="K88" s="486"/>
      <c r="L88" s="486"/>
    </row>
    <row r="89" spans="6:12" ht="15">
      <c r="F89" s="95"/>
      <c r="G89" s="95"/>
      <c r="H89" s="95"/>
      <c r="I89" s="95"/>
      <c r="J89" s="95"/>
      <c r="K89" s="86"/>
      <c r="L89" s="95"/>
    </row>
  </sheetData>
  <sheetProtection selectLockedCells="1" selectUnlockedCells="1"/>
  <mergeCells count="61">
    <mergeCell ref="A1:L1"/>
    <mergeCell ref="E3:K3"/>
    <mergeCell ref="B4:D4"/>
    <mergeCell ref="E4:K4"/>
    <mergeCell ref="I8:K8"/>
    <mergeCell ref="A12:L12"/>
    <mergeCell ref="A13:D14"/>
    <mergeCell ref="A15:C15"/>
    <mergeCell ref="A16:C16"/>
    <mergeCell ref="A17:C17"/>
    <mergeCell ref="A18:C18"/>
    <mergeCell ref="A19:C19"/>
    <mergeCell ref="A20:C20"/>
    <mergeCell ref="A21:C21"/>
    <mergeCell ref="A22:C22"/>
    <mergeCell ref="A25:E25"/>
    <mergeCell ref="H25:L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D37"/>
    <mergeCell ref="A38:D38"/>
    <mergeCell ref="A41:B41"/>
    <mergeCell ref="A42:B42"/>
    <mergeCell ref="A43:B43"/>
    <mergeCell ref="A44:B44"/>
    <mergeCell ref="A46:B46"/>
    <mergeCell ref="A47:B47"/>
    <mergeCell ref="A48:B48"/>
    <mergeCell ref="A49:B49"/>
    <mergeCell ref="N64:O64"/>
    <mergeCell ref="N65:O65"/>
    <mergeCell ref="N66:O66"/>
    <mergeCell ref="A51:D51"/>
    <mergeCell ref="A52:B52"/>
    <mergeCell ref="A53:B53"/>
    <mergeCell ref="A54:B54"/>
    <mergeCell ref="A55:B55"/>
    <mergeCell ref="A56:B56"/>
    <mergeCell ref="E77:F77"/>
    <mergeCell ref="H77:I77"/>
    <mergeCell ref="J77:K77"/>
    <mergeCell ref="B58:D58"/>
    <mergeCell ref="F58:H58"/>
    <mergeCell ref="B64:D64"/>
    <mergeCell ref="D81:E81"/>
    <mergeCell ref="G81:I81"/>
    <mergeCell ref="K81:L81"/>
    <mergeCell ref="G87:L87"/>
    <mergeCell ref="G88:L88"/>
    <mergeCell ref="C76:D76"/>
    <mergeCell ref="E76:F76"/>
    <mergeCell ref="H76:I76"/>
    <mergeCell ref="J76:K76"/>
    <mergeCell ref="C77:D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3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4"/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Esposito Marroccella</dc:creator>
  <cp:keywords/>
  <dc:description/>
  <cp:lastModifiedBy>Umberto Esposito Marroccella</cp:lastModifiedBy>
  <cp:lastPrinted>2023-02-28T14:36:16Z</cp:lastPrinted>
  <dcterms:created xsi:type="dcterms:W3CDTF">2023-01-17T08:19:06Z</dcterms:created>
  <dcterms:modified xsi:type="dcterms:W3CDTF">2024-01-18T08:59:46Z</dcterms:modified>
  <cp:category/>
  <cp:version/>
  <cp:contentType/>
  <cp:contentStatus/>
</cp:coreProperties>
</file>